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drawings/drawing5.xml" ContentType="application/vnd.openxmlformats-officedocument.drawing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:\My Drive\RG\20222023\"/>
    </mc:Choice>
  </mc:AlternateContent>
  <xr:revisionPtr revIDLastSave="0" documentId="13_ncr:1_{56898992-C7F9-47A9-8A8F-401E883FF651}" xr6:coauthVersionLast="47" xr6:coauthVersionMax="47" xr10:uidLastSave="{00000000-0000-0000-0000-000000000000}"/>
  <bookViews>
    <workbookView xWindow="-14670" yWindow="-16320" windowWidth="29040" windowHeight="15720" firstSheet="1" activeTab="10" xr2:uid="{00000000-000D-0000-FFFF-FFFF00000000}"/>
  </bookViews>
  <sheets>
    <sheet name="spisakStudenata" sheetId="1" r:id="rId1"/>
    <sheet name="K1" sheetId="2" r:id="rId2"/>
    <sheet name="L2" sheetId="4" r:id="rId3"/>
    <sheet name="K2" sheetId="3" r:id="rId4"/>
    <sheet name="L4" sheetId="5" r:id="rId5"/>
    <sheet name="DZ" sheetId="8" r:id="rId6"/>
    <sheet name="I" sheetId="6" r:id="rId7"/>
    <sheet name="Jun" sheetId="7" r:id="rId8"/>
    <sheet name="Jul" sheetId="9" r:id="rId9"/>
    <sheet name="Avgust" sheetId="10" r:id="rId10"/>
    <sheet name="Septembar" sheetId="12" r:id="rId11"/>
    <sheet name="Oktobar" sheetId="13" r:id="rId12"/>
    <sheet name="Februar" sheetId="14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2" l="1"/>
  <c r="D16" i="10"/>
  <c r="D3" i="14"/>
  <c r="D4" i="14"/>
  <c r="D5" i="14"/>
  <c r="D6" i="14"/>
  <c r="D7" i="14"/>
  <c r="D8" i="14"/>
  <c r="D9" i="14"/>
  <c r="D10" i="14"/>
  <c r="D11" i="14"/>
  <c r="D12" i="14"/>
  <c r="D2" i="14"/>
  <c r="D3" i="13"/>
  <c r="D4" i="13"/>
  <c r="D5" i="13"/>
  <c r="D6" i="13"/>
  <c r="D2" i="13"/>
  <c r="D6" i="12"/>
  <c r="D2" i="12"/>
  <c r="D12" i="12"/>
  <c r="D8" i="12"/>
  <c r="D13" i="12"/>
  <c r="D5" i="12"/>
  <c r="D11" i="12"/>
  <c r="D10" i="12"/>
  <c r="D7" i="12"/>
  <c r="D4" i="12"/>
  <c r="D3" i="12"/>
  <c r="D9" i="12"/>
  <c r="D10" i="10"/>
  <c r="D6" i="10"/>
  <c r="D2" i="10"/>
  <c r="D5" i="10"/>
  <c r="D17" i="10"/>
  <c r="D18" i="10"/>
  <c r="D19" i="10"/>
  <c r="D20" i="10"/>
  <c r="D21" i="10"/>
  <c r="D22" i="10"/>
  <c r="D23" i="10"/>
  <c r="D8" i="9"/>
  <c r="D14" i="9"/>
  <c r="D7" i="9"/>
  <c r="D6" i="9"/>
  <c r="D4" i="9"/>
  <c r="D5" i="9"/>
  <c r="D2" i="7"/>
  <c r="D3" i="7"/>
  <c r="D7" i="7"/>
  <c r="D8" i="7"/>
  <c r="D10" i="7"/>
  <c r="D11" i="7"/>
  <c r="D12" i="7"/>
  <c r="D13" i="7"/>
  <c r="D17" i="7"/>
  <c r="D21" i="7"/>
  <c r="D22" i="7"/>
  <c r="B2" i="3"/>
  <c r="C2" i="3" s="1"/>
  <c r="B6" i="3"/>
  <c r="C6" i="3" s="1"/>
  <c r="B9" i="3"/>
  <c r="C9" i="3" s="1"/>
  <c r="B12" i="3"/>
  <c r="C12" i="3" s="1"/>
  <c r="B10" i="3"/>
  <c r="C10" i="3" s="1"/>
  <c r="B8" i="3"/>
  <c r="C8" i="3" s="1"/>
  <c r="B16" i="3"/>
  <c r="C16" i="3" s="1"/>
  <c r="B13" i="3"/>
  <c r="C13" i="3" s="1"/>
  <c r="B11" i="3"/>
  <c r="C11" i="3" s="1"/>
  <c r="B17" i="3"/>
  <c r="C17" i="3" s="1"/>
  <c r="B15" i="3"/>
  <c r="C15" i="3" s="1"/>
  <c r="B7" i="3"/>
  <c r="C7" i="3" s="1"/>
  <c r="B4" i="3"/>
  <c r="C4" i="3" s="1"/>
  <c r="B3" i="3"/>
  <c r="C3" i="3" s="1"/>
  <c r="B14" i="3"/>
  <c r="C14" i="3" s="1"/>
  <c r="B5" i="3"/>
  <c r="C5" i="3" s="1"/>
  <c r="B6" i="14"/>
  <c r="B4" i="14"/>
  <c r="B3" i="14"/>
  <c r="B2" i="14"/>
  <c r="B12" i="14"/>
  <c r="B9" i="14"/>
  <c r="E6" i="14"/>
  <c r="E4" i="14"/>
  <c r="E2" i="14"/>
  <c r="E9" i="14"/>
  <c r="F6" i="14"/>
  <c r="F4" i="14"/>
  <c r="F3" i="14"/>
  <c r="F9" i="14"/>
  <c r="G6" i="14"/>
  <c r="G4" i="14"/>
  <c r="G3" i="14"/>
  <c r="G2" i="14"/>
  <c r="G12" i="14"/>
  <c r="G9" i="14"/>
  <c r="H6" i="14"/>
  <c r="H4" i="14"/>
  <c r="H3" i="14"/>
  <c r="H2" i="14"/>
  <c r="H12" i="14"/>
  <c r="H9" i="14"/>
  <c r="P6" i="14"/>
  <c r="P4" i="14"/>
  <c r="P3" i="14"/>
  <c r="P2" i="14"/>
  <c r="P12" i="14"/>
  <c r="P9" i="14"/>
  <c r="J6" i="14" l="1"/>
  <c r="I9" i="14"/>
  <c r="J4" i="14"/>
  <c r="J12" i="14"/>
  <c r="J2" i="14"/>
  <c r="J3" i="14"/>
  <c r="I6" i="14"/>
  <c r="J9" i="14"/>
  <c r="I4" i="14"/>
  <c r="B2" i="10"/>
  <c r="B13" i="10"/>
  <c r="B5" i="10"/>
  <c r="B11" i="10"/>
  <c r="B12" i="10"/>
  <c r="B20" i="10"/>
  <c r="B22" i="10"/>
  <c r="B23" i="10"/>
  <c r="E2" i="10"/>
  <c r="E13" i="10"/>
  <c r="E12" i="10"/>
  <c r="E20" i="10"/>
  <c r="E22" i="10"/>
  <c r="F2" i="10"/>
  <c r="F13" i="10"/>
  <c r="F5" i="10"/>
  <c r="F12" i="10"/>
  <c r="F20" i="10"/>
  <c r="F22" i="10"/>
  <c r="G2" i="10"/>
  <c r="G13" i="10"/>
  <c r="G5" i="10"/>
  <c r="G11" i="10"/>
  <c r="G12" i="10"/>
  <c r="G20" i="10"/>
  <c r="G22" i="10"/>
  <c r="G23" i="10"/>
  <c r="H2" i="10"/>
  <c r="H13" i="10"/>
  <c r="H5" i="10"/>
  <c r="H11" i="10"/>
  <c r="H12" i="10"/>
  <c r="H20" i="10"/>
  <c r="H22" i="10"/>
  <c r="H23" i="10"/>
  <c r="P2" i="10"/>
  <c r="P13" i="10"/>
  <c r="P5" i="10"/>
  <c r="P11" i="10"/>
  <c r="P12" i="10"/>
  <c r="P20" i="10"/>
  <c r="P22" i="10"/>
  <c r="P23" i="10"/>
  <c r="F5" i="14"/>
  <c r="F11" i="14"/>
  <c r="F7" i="14"/>
  <c r="F8" i="14"/>
  <c r="E5" i="14"/>
  <c r="E8" i="14"/>
  <c r="F3" i="13"/>
  <c r="F4" i="13"/>
  <c r="F5" i="13"/>
  <c r="F6" i="13"/>
  <c r="F2" i="13"/>
  <c r="E3" i="13"/>
  <c r="E4" i="13"/>
  <c r="E5" i="13"/>
  <c r="E6" i="13"/>
  <c r="E2" i="13"/>
  <c r="F11" i="12"/>
  <c r="F3" i="12"/>
  <c r="F6" i="12"/>
  <c r="F2" i="12"/>
  <c r="F8" i="12"/>
  <c r="F5" i="12"/>
  <c r="F10" i="12"/>
  <c r="F7" i="12"/>
  <c r="F4" i="12"/>
  <c r="F9" i="12"/>
  <c r="F12" i="12"/>
  <c r="E11" i="12"/>
  <c r="E14" i="12"/>
  <c r="E2" i="12"/>
  <c r="E8" i="12"/>
  <c r="E5" i="12"/>
  <c r="E10" i="12"/>
  <c r="E7" i="12"/>
  <c r="E4" i="12"/>
  <c r="E12" i="12"/>
  <c r="F7" i="10"/>
  <c r="F6" i="10"/>
  <c r="F9" i="10"/>
  <c r="F18" i="10"/>
  <c r="F19" i="10"/>
  <c r="F8" i="10"/>
  <c r="F3" i="10"/>
  <c r="F4" i="10"/>
  <c r="F10" i="10"/>
  <c r="F15" i="10"/>
  <c r="F14" i="10"/>
  <c r="E6" i="10"/>
  <c r="E16" i="10"/>
  <c r="E8" i="10"/>
  <c r="E3" i="10"/>
  <c r="E4" i="10"/>
  <c r="E15" i="10"/>
  <c r="E14" i="10"/>
  <c r="E7" i="10"/>
  <c r="F7" i="9"/>
  <c r="F4" i="9"/>
  <c r="F5" i="9"/>
  <c r="F16" i="9"/>
  <c r="F12" i="9"/>
  <c r="F2" i="9"/>
  <c r="F13" i="9"/>
  <c r="F10" i="9"/>
  <c r="F8" i="9"/>
  <c r="F14" i="9"/>
  <c r="F17" i="9"/>
  <c r="F6" i="9"/>
  <c r="F11" i="9"/>
  <c r="E3" i="9"/>
  <c r="E12" i="9"/>
  <c r="E2" i="9"/>
  <c r="E13" i="9"/>
  <c r="E8" i="9"/>
  <c r="E14" i="9"/>
  <c r="E9" i="9"/>
  <c r="E11" i="9"/>
  <c r="F5" i="7"/>
  <c r="F6" i="7"/>
  <c r="F8" i="7"/>
  <c r="F13" i="7"/>
  <c r="F15" i="7"/>
  <c r="F16" i="7"/>
  <c r="F17" i="7"/>
  <c r="F18" i="7"/>
  <c r="F2" i="7"/>
  <c r="F3" i="7"/>
  <c r="F7" i="7"/>
  <c r="F12" i="7"/>
  <c r="F19" i="7"/>
  <c r="F21" i="7"/>
  <c r="F22" i="7"/>
  <c r="F24" i="7"/>
  <c r="F26" i="7"/>
  <c r="F27" i="7"/>
  <c r="E6" i="7"/>
  <c r="E8" i="7"/>
  <c r="E13" i="7"/>
  <c r="E15" i="7"/>
  <c r="E17" i="7"/>
  <c r="E18" i="7"/>
  <c r="E2" i="7"/>
  <c r="E3" i="7"/>
  <c r="E7" i="7"/>
  <c r="E21" i="7"/>
  <c r="E4" i="7"/>
  <c r="F28" i="7"/>
  <c r="F11" i="7"/>
  <c r="F20" i="7"/>
  <c r="N16" i="3"/>
  <c r="D27" i="7" s="1"/>
  <c r="N12" i="2"/>
  <c r="B11" i="4"/>
  <c r="O11" i="4"/>
  <c r="E9" i="7" s="1"/>
  <c r="E23" i="7"/>
  <c r="B8" i="4"/>
  <c r="O8" i="4"/>
  <c r="E4" i="9" s="1"/>
  <c r="E15" i="9"/>
  <c r="B10" i="4"/>
  <c r="O10" i="4"/>
  <c r="E7" i="9" s="1"/>
  <c r="E12" i="14"/>
  <c r="E16" i="9"/>
  <c r="B3" i="4"/>
  <c r="O3" i="4"/>
  <c r="E11" i="7" s="1"/>
  <c r="E24" i="7"/>
  <c r="B9" i="4"/>
  <c r="O9" i="4"/>
  <c r="E20" i="7" s="1"/>
  <c r="B6" i="4"/>
  <c r="O6" i="4"/>
  <c r="B7" i="4"/>
  <c r="O7" i="4"/>
  <c r="E10" i="7" s="1"/>
  <c r="B4" i="4"/>
  <c r="O4" i="4"/>
  <c r="E6" i="9" s="1"/>
  <c r="E28" i="7"/>
  <c r="E25" i="7"/>
  <c r="O5" i="4"/>
  <c r="E17" i="9" s="1"/>
  <c r="O2" i="4"/>
  <c r="E7" i="14" s="1"/>
  <c r="B2" i="4"/>
  <c r="B5" i="4"/>
  <c r="B18" i="2"/>
  <c r="C18" i="2" s="1"/>
  <c r="N2" i="2"/>
  <c r="N7" i="2"/>
  <c r="N3" i="2"/>
  <c r="N11" i="2"/>
  <c r="N8" i="2"/>
  <c r="N16" i="2"/>
  <c r="N9" i="2"/>
  <c r="N6" i="2"/>
  <c r="N4" i="2"/>
  <c r="N10" i="2"/>
  <c r="N14" i="2"/>
  <c r="N22" i="2"/>
  <c r="N20" i="2"/>
  <c r="N15" i="2"/>
  <c r="N5" i="2"/>
  <c r="N19" i="2"/>
  <c r="N17" i="2"/>
  <c r="N13" i="2"/>
  <c r="N21" i="2"/>
  <c r="N18" i="2"/>
  <c r="B7" i="2"/>
  <c r="C7" i="2" s="1"/>
  <c r="B3" i="2"/>
  <c r="C3" i="2" s="1"/>
  <c r="B11" i="2"/>
  <c r="C11" i="2" s="1"/>
  <c r="B8" i="2"/>
  <c r="C8" i="2" s="1"/>
  <c r="B16" i="2"/>
  <c r="C16" i="2" s="1"/>
  <c r="B9" i="2"/>
  <c r="C9" i="2" s="1"/>
  <c r="B6" i="2"/>
  <c r="C6" i="2" s="1"/>
  <c r="B4" i="2"/>
  <c r="C4" i="2" s="1"/>
  <c r="B10" i="2"/>
  <c r="C10" i="2" s="1"/>
  <c r="B14" i="2"/>
  <c r="C14" i="2" s="1"/>
  <c r="B22" i="2"/>
  <c r="C22" i="2" s="1"/>
  <c r="B20" i="2"/>
  <c r="C20" i="2" s="1"/>
  <c r="B15" i="2"/>
  <c r="C15" i="2" s="1"/>
  <c r="B5" i="2"/>
  <c r="C5" i="2" s="1"/>
  <c r="B19" i="2"/>
  <c r="C19" i="2" s="1"/>
  <c r="B17" i="2"/>
  <c r="C17" i="2" s="1"/>
  <c r="B13" i="2"/>
  <c r="B21" i="2"/>
  <c r="C21" i="2" s="1"/>
  <c r="B12" i="2"/>
  <c r="C12" i="2" s="1"/>
  <c r="B2" i="2"/>
  <c r="C2" i="2" s="1"/>
  <c r="P7" i="14"/>
  <c r="H7" i="14"/>
  <c r="G7" i="14"/>
  <c r="B7" i="14"/>
  <c r="P10" i="14"/>
  <c r="H10" i="14"/>
  <c r="G10" i="14"/>
  <c r="B10" i="14"/>
  <c r="P11" i="14"/>
  <c r="H11" i="14"/>
  <c r="G11" i="14"/>
  <c r="B11" i="14"/>
  <c r="P5" i="14"/>
  <c r="H5" i="14"/>
  <c r="G5" i="14"/>
  <c r="B5" i="14"/>
  <c r="P8" i="14"/>
  <c r="H8" i="14"/>
  <c r="G8" i="14"/>
  <c r="B8" i="14"/>
  <c r="B6" i="13"/>
  <c r="G6" i="13"/>
  <c r="H6" i="13"/>
  <c r="P6" i="13"/>
  <c r="P5" i="13"/>
  <c r="H5" i="13"/>
  <c r="G5" i="13"/>
  <c r="B5" i="13"/>
  <c r="P4" i="13"/>
  <c r="H4" i="13"/>
  <c r="G4" i="13"/>
  <c r="B4" i="13"/>
  <c r="P3" i="13"/>
  <c r="H3" i="13"/>
  <c r="G3" i="13"/>
  <c r="B3" i="13"/>
  <c r="P2" i="13"/>
  <c r="H2" i="13"/>
  <c r="G2" i="13"/>
  <c r="B2" i="13"/>
  <c r="P10" i="12"/>
  <c r="H10" i="12"/>
  <c r="G10" i="12"/>
  <c r="B10" i="12"/>
  <c r="P2" i="12"/>
  <c r="H2" i="12"/>
  <c r="G2" i="12"/>
  <c r="B2" i="12"/>
  <c r="P7" i="12"/>
  <c r="H7" i="12"/>
  <c r="G7" i="12"/>
  <c r="B7" i="12"/>
  <c r="P9" i="12"/>
  <c r="H9" i="12"/>
  <c r="G9" i="12"/>
  <c r="B9" i="12"/>
  <c r="P3" i="12"/>
  <c r="H3" i="12"/>
  <c r="G3" i="12"/>
  <c r="B3" i="12"/>
  <c r="P8" i="12"/>
  <c r="H8" i="12"/>
  <c r="G8" i="12"/>
  <c r="B8" i="12"/>
  <c r="P5" i="12"/>
  <c r="H5" i="12"/>
  <c r="G5" i="12"/>
  <c r="B5" i="12"/>
  <c r="P4" i="12"/>
  <c r="H4" i="12"/>
  <c r="G4" i="12"/>
  <c r="B4" i="12"/>
  <c r="P11" i="12"/>
  <c r="H11" i="12"/>
  <c r="G11" i="12"/>
  <c r="B11" i="12"/>
  <c r="P12" i="12"/>
  <c r="H12" i="12"/>
  <c r="G12" i="12"/>
  <c r="B12" i="12"/>
  <c r="P13" i="12"/>
  <c r="H13" i="12"/>
  <c r="G13" i="12"/>
  <c r="B13" i="12"/>
  <c r="P14" i="12"/>
  <c r="H14" i="12"/>
  <c r="G14" i="12"/>
  <c r="B14" i="12"/>
  <c r="P6" i="12"/>
  <c r="H6" i="12"/>
  <c r="G6" i="12"/>
  <c r="B6" i="12"/>
  <c r="B26" i="8"/>
  <c r="B25" i="8"/>
  <c r="B24" i="8"/>
  <c r="B23" i="8"/>
  <c r="G14" i="10"/>
  <c r="B22" i="8"/>
  <c r="B21" i="8"/>
  <c r="B20" i="8"/>
  <c r="P14" i="10"/>
  <c r="H14" i="10"/>
  <c r="B14" i="10"/>
  <c r="P18" i="10"/>
  <c r="H18" i="10"/>
  <c r="G18" i="10"/>
  <c r="B18" i="10"/>
  <c r="P17" i="10"/>
  <c r="H17" i="10"/>
  <c r="G17" i="10"/>
  <c r="B17" i="10"/>
  <c r="P10" i="10"/>
  <c r="H10" i="10"/>
  <c r="G10" i="10"/>
  <c r="B10" i="10"/>
  <c r="P3" i="10"/>
  <c r="H3" i="10"/>
  <c r="G3" i="10"/>
  <c r="B3" i="10"/>
  <c r="P19" i="10"/>
  <c r="H19" i="10"/>
  <c r="G19" i="10"/>
  <c r="B19" i="10"/>
  <c r="P21" i="10"/>
  <c r="H21" i="10"/>
  <c r="G21" i="10"/>
  <c r="B21" i="10"/>
  <c r="P8" i="10"/>
  <c r="H8" i="10"/>
  <c r="G8" i="10"/>
  <c r="B8" i="10"/>
  <c r="P9" i="10"/>
  <c r="H9" i="10"/>
  <c r="G9" i="10"/>
  <c r="B9" i="10"/>
  <c r="P6" i="10"/>
  <c r="H6" i="10"/>
  <c r="G6" i="10"/>
  <c r="B6" i="10"/>
  <c r="P15" i="10"/>
  <c r="H15" i="10"/>
  <c r="G15" i="10"/>
  <c r="B15" i="10"/>
  <c r="P7" i="10"/>
  <c r="H7" i="10"/>
  <c r="G7" i="10"/>
  <c r="B7" i="10"/>
  <c r="P4" i="10"/>
  <c r="H4" i="10"/>
  <c r="G4" i="10"/>
  <c r="B4" i="10"/>
  <c r="P16" i="10"/>
  <c r="H16" i="10"/>
  <c r="G16" i="10"/>
  <c r="B16" i="10"/>
  <c r="B46" i="6"/>
  <c r="C46" i="6" s="1"/>
  <c r="O46" i="6"/>
  <c r="B19" i="8"/>
  <c r="B18" i="8"/>
  <c r="B17" i="8"/>
  <c r="B16" i="8"/>
  <c r="B15" i="8"/>
  <c r="B14" i="8"/>
  <c r="B13" i="8"/>
  <c r="O13" i="9"/>
  <c r="H13" i="9"/>
  <c r="G13" i="9"/>
  <c r="B13" i="9"/>
  <c r="O16" i="9"/>
  <c r="H16" i="9"/>
  <c r="G16" i="9"/>
  <c r="B16" i="9"/>
  <c r="O6" i="9"/>
  <c r="H6" i="9"/>
  <c r="G6" i="9"/>
  <c r="B6" i="9"/>
  <c r="O5" i="9"/>
  <c r="H5" i="9"/>
  <c r="G5" i="9"/>
  <c r="B5" i="9"/>
  <c r="O17" i="9"/>
  <c r="H17" i="9"/>
  <c r="G17" i="9"/>
  <c r="B17" i="9"/>
  <c r="O14" i="9"/>
  <c r="H14" i="9"/>
  <c r="G14" i="9"/>
  <c r="B14" i="9"/>
  <c r="O4" i="9"/>
  <c r="H4" i="9"/>
  <c r="G4" i="9"/>
  <c r="B4" i="9"/>
  <c r="O8" i="9"/>
  <c r="H8" i="9"/>
  <c r="G8" i="9"/>
  <c r="B8" i="9"/>
  <c r="O7" i="9"/>
  <c r="H7" i="9"/>
  <c r="G7" i="9"/>
  <c r="B7" i="9"/>
  <c r="O10" i="9"/>
  <c r="H10" i="9"/>
  <c r="G10" i="9"/>
  <c r="B10" i="9"/>
  <c r="O15" i="9"/>
  <c r="H15" i="9"/>
  <c r="G15" i="9"/>
  <c r="B15" i="9"/>
  <c r="O11" i="9"/>
  <c r="H11" i="9"/>
  <c r="G11" i="9"/>
  <c r="B11" i="9"/>
  <c r="O9" i="9"/>
  <c r="H9" i="9"/>
  <c r="G9" i="9"/>
  <c r="B9" i="9"/>
  <c r="O2" i="9"/>
  <c r="H2" i="9"/>
  <c r="G2" i="9"/>
  <c r="B2" i="9"/>
  <c r="O12" i="9"/>
  <c r="H12" i="9"/>
  <c r="G12" i="9"/>
  <c r="B12" i="9"/>
  <c r="O3" i="9"/>
  <c r="H3" i="9"/>
  <c r="G3" i="9"/>
  <c r="B3" i="9"/>
  <c r="H28" i="7"/>
  <c r="H24" i="7"/>
  <c r="H4" i="7"/>
  <c r="H5" i="7"/>
  <c r="H6" i="7"/>
  <c r="H8" i="7"/>
  <c r="H13" i="7"/>
  <c r="H15" i="7"/>
  <c r="H18" i="7"/>
  <c r="H20" i="7"/>
  <c r="H25" i="7"/>
  <c r="H16" i="7"/>
  <c r="H17" i="7"/>
  <c r="H2" i="7"/>
  <c r="H11" i="7"/>
  <c r="H26" i="7"/>
  <c r="H3" i="7"/>
  <c r="H7" i="7"/>
  <c r="H12" i="7"/>
  <c r="H9" i="7"/>
  <c r="H27" i="7"/>
  <c r="H10" i="7"/>
  <c r="H14" i="7"/>
  <c r="H22" i="7"/>
  <c r="H19" i="7"/>
  <c r="H21" i="7"/>
  <c r="H23" i="7"/>
  <c r="G28" i="7"/>
  <c r="G24" i="7"/>
  <c r="G4" i="7"/>
  <c r="G5" i="7"/>
  <c r="G6" i="7"/>
  <c r="G8" i="7"/>
  <c r="G13" i="7"/>
  <c r="G15" i="7"/>
  <c r="G18" i="7"/>
  <c r="G20" i="7"/>
  <c r="G25" i="7"/>
  <c r="G16" i="7"/>
  <c r="G17" i="7"/>
  <c r="G2" i="7"/>
  <c r="G11" i="7"/>
  <c r="G26" i="7"/>
  <c r="G3" i="7"/>
  <c r="G7" i="7"/>
  <c r="G12" i="7"/>
  <c r="G9" i="7"/>
  <c r="G27" i="7"/>
  <c r="G10" i="7"/>
  <c r="G14" i="7"/>
  <c r="G22" i="7"/>
  <c r="G19" i="7"/>
  <c r="G21" i="7"/>
  <c r="G23" i="7"/>
  <c r="B35" i="6"/>
  <c r="C35" i="6" s="1"/>
  <c r="B36" i="6"/>
  <c r="C36" i="6" s="1"/>
  <c r="B37" i="6"/>
  <c r="C37" i="6" s="1"/>
  <c r="B38" i="6"/>
  <c r="C38" i="6" s="1"/>
  <c r="B39" i="6"/>
  <c r="C39" i="6" s="1"/>
  <c r="B40" i="6"/>
  <c r="C40" i="6" s="1"/>
  <c r="B41" i="6"/>
  <c r="C41" i="6" s="1"/>
  <c r="B42" i="6"/>
  <c r="B43" i="6"/>
  <c r="C43" i="6" s="1"/>
  <c r="B44" i="6"/>
  <c r="C44" i="6" s="1"/>
  <c r="B45" i="6"/>
  <c r="C45" i="6" s="1"/>
  <c r="O35" i="6"/>
  <c r="O36" i="6"/>
  <c r="O37" i="6"/>
  <c r="O38" i="6"/>
  <c r="O39" i="6"/>
  <c r="O40" i="6"/>
  <c r="O41" i="6"/>
  <c r="O42" i="6"/>
  <c r="O43" i="6"/>
  <c r="O44" i="6"/>
  <c r="O45" i="6"/>
  <c r="O28" i="7"/>
  <c r="O24" i="7"/>
  <c r="O4" i="7"/>
  <c r="O5" i="7"/>
  <c r="O6" i="7"/>
  <c r="O8" i="7"/>
  <c r="O13" i="7"/>
  <c r="O15" i="7"/>
  <c r="O18" i="7"/>
  <c r="O20" i="7"/>
  <c r="O25" i="7"/>
  <c r="O16" i="7"/>
  <c r="O17" i="7"/>
  <c r="O2" i="7"/>
  <c r="O11" i="7"/>
  <c r="O26" i="7"/>
  <c r="O3" i="7"/>
  <c r="O7" i="7"/>
  <c r="O12" i="7"/>
  <c r="O9" i="7"/>
  <c r="O27" i="7"/>
  <c r="O10" i="7"/>
  <c r="O14" i="7"/>
  <c r="O22" i="7"/>
  <c r="O19" i="7"/>
  <c r="O21" i="7"/>
  <c r="O23" i="7"/>
  <c r="B3" i="8"/>
  <c r="B4" i="8"/>
  <c r="B5" i="8"/>
  <c r="B6" i="8"/>
  <c r="B7" i="8"/>
  <c r="B8" i="8"/>
  <c r="B9" i="8"/>
  <c r="B10" i="8"/>
  <c r="B11" i="8"/>
  <c r="B12" i="8"/>
  <c r="B2" i="8"/>
  <c r="B3" i="5"/>
  <c r="B2" i="5"/>
  <c r="C12" i="9" l="1"/>
  <c r="C26" i="7"/>
  <c r="C25" i="7"/>
  <c r="C14" i="7"/>
  <c r="C8" i="10"/>
  <c r="C5" i="10"/>
  <c r="C9" i="7"/>
  <c r="C28" i="7"/>
  <c r="C20" i="7"/>
  <c r="C7" i="7"/>
  <c r="C9" i="12"/>
  <c r="C13" i="10"/>
  <c r="C27" i="7"/>
  <c r="C17" i="7"/>
  <c r="C5" i="12"/>
  <c r="C11" i="7"/>
  <c r="C8" i="7"/>
  <c r="C2" i="12"/>
  <c r="C2" i="7"/>
  <c r="C6" i="7"/>
  <c r="C2" i="13"/>
  <c r="C19" i="7"/>
  <c r="C3" i="7"/>
  <c r="C6" i="13"/>
  <c r="C24" i="7"/>
  <c r="C21" i="7"/>
  <c r="C22" i="7"/>
  <c r="C5" i="13"/>
  <c r="C13" i="7"/>
  <c r="C17" i="9"/>
  <c r="C3" i="13"/>
  <c r="C18" i="7"/>
  <c r="C10" i="7"/>
  <c r="C23" i="7"/>
  <c r="C8" i="9"/>
  <c r="C3" i="10"/>
  <c r="C12" i="7"/>
  <c r="C16" i="7"/>
  <c r="C2" i="9"/>
  <c r="C13" i="2"/>
  <c r="C4" i="14"/>
  <c r="C12" i="14"/>
  <c r="C15" i="10"/>
  <c r="C14" i="10"/>
  <c r="C9" i="14"/>
  <c r="C11" i="14"/>
  <c r="C5" i="14"/>
  <c r="E10" i="14"/>
  <c r="C4" i="7"/>
  <c r="C2" i="14"/>
  <c r="E11" i="14"/>
  <c r="I11" i="14" s="1"/>
  <c r="C15" i="7"/>
  <c r="C6" i="14"/>
  <c r="F10" i="14"/>
  <c r="C5" i="7"/>
  <c r="C3" i="14"/>
  <c r="E5" i="7"/>
  <c r="E3" i="14"/>
  <c r="I3" i="14" s="1"/>
  <c r="C10" i="14"/>
  <c r="C42" i="6"/>
  <c r="E6" i="12"/>
  <c r="I6" i="12" s="1"/>
  <c r="C7" i="12"/>
  <c r="C10" i="12"/>
  <c r="E17" i="10"/>
  <c r="E3" i="12"/>
  <c r="I3" i="12" s="1"/>
  <c r="C8" i="12"/>
  <c r="E9" i="12"/>
  <c r="I9" i="12" s="1"/>
  <c r="C6" i="12"/>
  <c r="C11" i="12"/>
  <c r="C12" i="12"/>
  <c r="C4" i="12"/>
  <c r="J2" i="10"/>
  <c r="C4" i="10"/>
  <c r="F21" i="10"/>
  <c r="E21" i="10"/>
  <c r="E19" i="10"/>
  <c r="I19" i="10" s="1"/>
  <c r="C16" i="10"/>
  <c r="E18" i="10"/>
  <c r="I18" i="10" s="1"/>
  <c r="C10" i="10"/>
  <c r="J5" i="10"/>
  <c r="I20" i="10"/>
  <c r="I13" i="10"/>
  <c r="I22" i="10"/>
  <c r="J23" i="10"/>
  <c r="J12" i="10"/>
  <c r="J22" i="10"/>
  <c r="J11" i="10"/>
  <c r="J20" i="10"/>
  <c r="I12" i="10"/>
  <c r="J13" i="10"/>
  <c r="I2" i="10"/>
  <c r="C21" i="10"/>
  <c r="C9" i="10"/>
  <c r="C11" i="10"/>
  <c r="C2" i="10"/>
  <c r="E23" i="10"/>
  <c r="E9" i="10"/>
  <c r="I9" i="10" s="1"/>
  <c r="E10" i="10"/>
  <c r="I10" i="10" s="1"/>
  <c r="C19" i="10"/>
  <c r="E11" i="10"/>
  <c r="C23" i="10"/>
  <c r="C18" i="10"/>
  <c r="E5" i="10"/>
  <c r="I5" i="10" s="1"/>
  <c r="C22" i="10"/>
  <c r="C20" i="10"/>
  <c r="C7" i="10"/>
  <c r="C12" i="10"/>
  <c r="C10" i="9"/>
  <c r="C16" i="9"/>
  <c r="C15" i="9"/>
  <c r="C4" i="13"/>
  <c r="C9" i="9"/>
  <c r="C13" i="9"/>
  <c r="C13" i="12"/>
  <c r="C6" i="9"/>
  <c r="C3" i="9"/>
  <c r="C8" i="14"/>
  <c r="C7" i="9"/>
  <c r="C17" i="10"/>
  <c r="C7" i="14"/>
  <c r="C14" i="9"/>
  <c r="C6" i="10"/>
  <c r="C14" i="12"/>
  <c r="C5" i="9"/>
  <c r="C4" i="9"/>
  <c r="C3" i="12"/>
  <c r="C11" i="9"/>
  <c r="E22" i="7"/>
  <c r="E19" i="7"/>
  <c r="E16" i="7"/>
  <c r="E10" i="9"/>
  <c r="I10" i="9" s="1"/>
  <c r="E14" i="7"/>
  <c r="E12" i="7"/>
  <c r="E13" i="12"/>
  <c r="E27" i="7"/>
  <c r="E26" i="7"/>
  <c r="F13" i="12"/>
  <c r="E5" i="9"/>
  <c r="I5" i="9" s="1"/>
  <c r="J5" i="14"/>
  <c r="J4" i="13"/>
  <c r="J8" i="14"/>
  <c r="I7" i="14"/>
  <c r="J7" i="14"/>
  <c r="J10" i="14"/>
  <c r="J11" i="14"/>
  <c r="I8" i="14"/>
  <c r="I5" i="14"/>
  <c r="I6" i="13"/>
  <c r="J6" i="13"/>
  <c r="I4" i="13"/>
  <c r="I2" i="13"/>
  <c r="I3" i="13"/>
  <c r="I5" i="13"/>
  <c r="J2" i="13"/>
  <c r="J3" i="13"/>
  <c r="J5" i="13"/>
  <c r="J9" i="12"/>
  <c r="J14" i="12"/>
  <c r="J3" i="12"/>
  <c r="J8" i="12"/>
  <c r="J6" i="12"/>
  <c r="J11" i="12"/>
  <c r="I11" i="12"/>
  <c r="I10" i="12"/>
  <c r="J12" i="12"/>
  <c r="J5" i="12"/>
  <c r="I2" i="12"/>
  <c r="J13" i="12"/>
  <c r="I8" i="12"/>
  <c r="J2" i="12"/>
  <c r="I12" i="12"/>
  <c r="I4" i="12"/>
  <c r="J4" i="12"/>
  <c r="I5" i="12"/>
  <c r="J7" i="12"/>
  <c r="I7" i="12"/>
  <c r="J10" i="12"/>
  <c r="J16" i="10"/>
  <c r="J9" i="10"/>
  <c r="J10" i="10"/>
  <c r="J7" i="10"/>
  <c r="I14" i="10"/>
  <c r="J18" i="10"/>
  <c r="J6" i="10"/>
  <c r="J17" i="10"/>
  <c r="I4" i="10"/>
  <c r="J15" i="10"/>
  <c r="J19" i="10"/>
  <c r="J14" i="10"/>
  <c r="I3" i="10"/>
  <c r="I8" i="10"/>
  <c r="J4" i="10"/>
  <c r="I6" i="10"/>
  <c r="J21" i="10"/>
  <c r="I7" i="10"/>
  <c r="I15" i="10"/>
  <c r="J8" i="10"/>
  <c r="J3" i="10"/>
  <c r="J8" i="9"/>
  <c r="J3" i="9"/>
  <c r="J6" i="9"/>
  <c r="J11" i="9"/>
  <c r="J15" i="9"/>
  <c r="J7" i="9"/>
  <c r="J2" i="9"/>
  <c r="I11" i="9"/>
  <c r="J10" i="9"/>
  <c r="J14" i="9"/>
  <c r="I14" i="9"/>
  <c r="I8" i="9"/>
  <c r="I7" i="9"/>
  <c r="I2" i="9"/>
  <c r="I16" i="9"/>
  <c r="I6" i="9"/>
  <c r="J16" i="9"/>
  <c r="J13" i="9"/>
  <c r="I13" i="9"/>
  <c r="J5" i="9"/>
  <c r="J12" i="9"/>
  <c r="I12" i="9"/>
  <c r="J9" i="9"/>
  <c r="J17" i="9"/>
  <c r="I17" i="9"/>
  <c r="J4" i="9"/>
  <c r="I4" i="9"/>
  <c r="B28" i="7"/>
  <c r="B24" i="7"/>
  <c r="B4" i="7"/>
  <c r="B5" i="7"/>
  <c r="B6" i="7"/>
  <c r="B8" i="7"/>
  <c r="B13" i="7"/>
  <c r="B15" i="7"/>
  <c r="B18" i="7"/>
  <c r="B20" i="7"/>
  <c r="B25" i="7"/>
  <c r="B16" i="7"/>
  <c r="B17" i="7"/>
  <c r="B2" i="7"/>
  <c r="B11" i="7"/>
  <c r="B26" i="7"/>
  <c r="B3" i="7"/>
  <c r="B7" i="7"/>
  <c r="B12" i="7"/>
  <c r="B9" i="7"/>
  <c r="B27" i="7"/>
  <c r="B10" i="7"/>
  <c r="B14" i="7"/>
  <c r="B22" i="7"/>
  <c r="B19" i="7"/>
  <c r="B21" i="7"/>
  <c r="B23" i="7"/>
  <c r="I10" i="14" l="1"/>
  <c r="I21" i="10"/>
  <c r="I13" i="12"/>
  <c r="J7" i="7"/>
  <c r="J6" i="7"/>
  <c r="J9" i="7"/>
  <c r="J22" i="7"/>
  <c r="J17" i="7"/>
  <c r="J10" i="7"/>
  <c r="J20" i="7"/>
  <c r="I16" i="7"/>
  <c r="I18" i="7"/>
  <c r="J23" i="7"/>
  <c r="J3" i="7"/>
  <c r="J5" i="7"/>
  <c r="I12" i="7"/>
  <c r="I8" i="7"/>
  <c r="J11" i="7"/>
  <c r="J14" i="7"/>
  <c r="J25" i="7"/>
  <c r="J21" i="7"/>
  <c r="J26" i="7"/>
  <c r="J4" i="7"/>
  <c r="I7" i="7"/>
  <c r="I6" i="7"/>
  <c r="I5" i="7"/>
  <c r="J16" i="7"/>
  <c r="J18" i="7"/>
  <c r="J28" i="7"/>
  <c r="J13" i="7"/>
  <c r="J12" i="7"/>
  <c r="J8" i="7"/>
  <c r="J19" i="7"/>
  <c r="J2" i="7"/>
  <c r="J24" i="7"/>
  <c r="I26" i="7"/>
  <c r="J27" i="7"/>
  <c r="J15" i="7"/>
  <c r="I19" i="7"/>
  <c r="I2" i="7"/>
  <c r="I17" i="7"/>
  <c r="I27" i="7"/>
  <c r="O33" i="6" l="1"/>
  <c r="O21" i="6"/>
  <c r="O27" i="6"/>
  <c r="O10" i="6"/>
  <c r="O14" i="6"/>
  <c r="O30" i="6"/>
  <c r="O26" i="6"/>
  <c r="O20" i="6"/>
  <c r="O2" i="6"/>
  <c r="O13" i="6"/>
  <c r="O18" i="6"/>
  <c r="O25" i="6"/>
  <c r="O6" i="6"/>
  <c r="O4" i="6"/>
  <c r="O11" i="6"/>
  <c r="O17" i="6"/>
  <c r="O7" i="6"/>
  <c r="O16" i="6"/>
  <c r="O5" i="6"/>
  <c r="O23" i="6"/>
  <c r="O3" i="6"/>
  <c r="O19" i="6"/>
  <c r="O28" i="6"/>
  <c r="O32" i="6"/>
  <c r="O9" i="6"/>
  <c r="O22" i="6"/>
  <c r="O15" i="6"/>
  <c r="O12" i="6"/>
  <c r="O29" i="6"/>
  <c r="O24" i="6"/>
  <c r="O34" i="6"/>
  <c r="O8" i="6"/>
  <c r="O31" i="6"/>
  <c r="B33" i="6"/>
  <c r="C33" i="6" s="1"/>
  <c r="B21" i="6"/>
  <c r="B27" i="6"/>
  <c r="C27" i="6" s="1"/>
  <c r="B10" i="6"/>
  <c r="C10" i="6" s="1"/>
  <c r="B14" i="6"/>
  <c r="C14" i="6" s="1"/>
  <c r="B30" i="6"/>
  <c r="C30" i="6" s="1"/>
  <c r="B26" i="6"/>
  <c r="B20" i="6"/>
  <c r="C20" i="6" s="1"/>
  <c r="B2" i="6"/>
  <c r="B13" i="6"/>
  <c r="C13" i="6" s="1"/>
  <c r="B18" i="6"/>
  <c r="C18" i="6" s="1"/>
  <c r="B25" i="6"/>
  <c r="C25" i="6" s="1"/>
  <c r="B6" i="6"/>
  <c r="C6" i="6" s="1"/>
  <c r="B4" i="6"/>
  <c r="C4" i="6" s="1"/>
  <c r="B11" i="6"/>
  <c r="C11" i="6" s="1"/>
  <c r="B17" i="6"/>
  <c r="C17" i="6" s="1"/>
  <c r="B7" i="6"/>
  <c r="C7" i="6" s="1"/>
  <c r="B16" i="6"/>
  <c r="C16" i="6" s="1"/>
  <c r="B5" i="6"/>
  <c r="C5" i="6" s="1"/>
  <c r="B23" i="6"/>
  <c r="C23" i="6" s="1"/>
  <c r="B3" i="6"/>
  <c r="C3" i="6" s="1"/>
  <c r="B19" i="6"/>
  <c r="C19" i="6" s="1"/>
  <c r="B28" i="6"/>
  <c r="C28" i="6" s="1"/>
  <c r="B32" i="6"/>
  <c r="C32" i="6" s="1"/>
  <c r="B9" i="6"/>
  <c r="C9" i="6" s="1"/>
  <c r="B22" i="6"/>
  <c r="C22" i="6" s="1"/>
  <c r="B15" i="6"/>
  <c r="C15" i="6" s="1"/>
  <c r="B12" i="6"/>
  <c r="C12" i="6" s="1"/>
  <c r="B29" i="6"/>
  <c r="C29" i="6" s="1"/>
  <c r="B24" i="6"/>
  <c r="C24" i="6" s="1"/>
  <c r="B34" i="6"/>
  <c r="B8" i="6"/>
  <c r="C8" i="6" s="1"/>
  <c r="B31" i="6"/>
  <c r="C31" i="6" s="1"/>
  <c r="F2" i="14"/>
  <c r="I2" i="14" s="1"/>
  <c r="N3" i="5"/>
  <c r="F11" i="10" s="1"/>
  <c r="I11" i="10" s="1"/>
  <c r="N2" i="5"/>
  <c r="F9" i="9" s="1"/>
  <c r="I9" i="9" s="1"/>
  <c r="I22" i="7"/>
  <c r="I24" i="7"/>
  <c r="I15" i="7"/>
  <c r="I20" i="7"/>
  <c r="N6" i="3"/>
  <c r="N15" i="3"/>
  <c r="D14" i="10" s="1"/>
  <c r="N10" i="3"/>
  <c r="N9" i="3"/>
  <c r="N11" i="3"/>
  <c r="N17" i="3"/>
  <c r="N14" i="3"/>
  <c r="D13" i="10" s="1"/>
  <c r="N7" i="3"/>
  <c r="D10" i="9" s="1"/>
  <c r="N4" i="3"/>
  <c r="D3" i="9" s="1"/>
  <c r="N3" i="3"/>
  <c r="N8" i="3"/>
  <c r="N2" i="3"/>
  <c r="N13" i="3"/>
  <c r="D12" i="10" s="1"/>
  <c r="N5" i="3"/>
  <c r="N12" i="3"/>
  <c r="D11" i="10" s="1"/>
  <c r="D2" i="9" l="1"/>
  <c r="D3" i="10"/>
  <c r="D5" i="7"/>
  <c r="D4" i="10"/>
  <c r="D11" i="9"/>
  <c r="D7" i="10"/>
  <c r="D28" i="7"/>
  <c r="D15" i="10"/>
  <c r="D12" i="9"/>
  <c r="D8" i="10"/>
  <c r="D19" i="7"/>
  <c r="D9" i="10"/>
  <c r="K12" i="14" a="1"/>
  <c r="K12" i="14" s="1"/>
  <c r="D25" i="7"/>
  <c r="D17" i="9"/>
  <c r="F23" i="7"/>
  <c r="I23" i="7" s="1"/>
  <c r="F15" i="9"/>
  <c r="I15" i="9" s="1"/>
  <c r="D20" i="7"/>
  <c r="D13" i="9"/>
  <c r="D23" i="7"/>
  <c r="D15" i="9"/>
  <c r="D24" i="7"/>
  <c r="D16" i="9"/>
  <c r="D14" i="7"/>
  <c r="D9" i="9"/>
  <c r="C21" i="6"/>
  <c r="K4" i="14" a="1"/>
  <c r="K4" i="14" s="1"/>
  <c r="K13" i="10" a="1"/>
  <c r="K13" i="10" s="1"/>
  <c r="K11" i="9" a="1"/>
  <c r="K11" i="9" s="1"/>
  <c r="K22" i="10" a="1"/>
  <c r="K22" i="10" s="1"/>
  <c r="K9" i="14" a="1"/>
  <c r="K9" i="14" s="1"/>
  <c r="K11" i="10" a="1"/>
  <c r="K11" i="10" s="1"/>
  <c r="D15" i="7"/>
  <c r="K6" i="14" a="1"/>
  <c r="K6" i="14" s="1"/>
  <c r="D18" i="7"/>
  <c r="K5" i="10" a="1"/>
  <c r="K5" i="10" s="1"/>
  <c r="D26" i="7"/>
  <c r="K12" i="10" a="1"/>
  <c r="K12" i="10" s="1"/>
  <c r="D6" i="7"/>
  <c r="K2" i="14" a="1"/>
  <c r="K2" i="14" s="1"/>
  <c r="D9" i="7"/>
  <c r="K3" i="14" a="1"/>
  <c r="K3" i="14" s="1"/>
  <c r="D4" i="7"/>
  <c r="K2" i="10" a="1"/>
  <c r="K2" i="10" s="1"/>
  <c r="D16" i="7"/>
  <c r="F9" i="7"/>
  <c r="I9" i="7" s="1"/>
  <c r="F14" i="7"/>
  <c r="I14" i="7" s="1"/>
  <c r="Q6" i="14" a="1"/>
  <c r="Q6" i="14" s="1"/>
  <c r="N6" i="14" s="1"/>
  <c r="Q9" i="14" a="1"/>
  <c r="Q9" i="14" s="1"/>
  <c r="N9" i="14" s="1"/>
  <c r="Q2" i="14" a="1"/>
  <c r="Q2" i="14" s="1"/>
  <c r="N2" i="14" s="1"/>
  <c r="Q12" i="14" a="1"/>
  <c r="Q12" i="14" s="1"/>
  <c r="N12" i="14" s="1"/>
  <c r="L4" i="14" a="1"/>
  <c r="L4" i="14" s="1"/>
  <c r="M4" i="14" s="1"/>
  <c r="Q3" i="14" a="1"/>
  <c r="Q3" i="14" s="1"/>
  <c r="N3" i="14" s="1"/>
  <c r="Q4" i="14" a="1"/>
  <c r="Q4" i="14" s="1"/>
  <c r="N4" i="14" s="1"/>
  <c r="L9" i="14" a="1"/>
  <c r="L9" i="14" s="1"/>
  <c r="M9" i="14" s="1"/>
  <c r="L6" i="14" a="1"/>
  <c r="L6" i="14" s="1"/>
  <c r="L2" i="14" a="1"/>
  <c r="L2" i="14" s="1"/>
  <c r="L12" i="14" a="1"/>
  <c r="L12" i="14" s="1"/>
  <c r="L3" i="14" a="1"/>
  <c r="L3" i="14" s="1"/>
  <c r="M3" i="14" s="1"/>
  <c r="F12" i="14"/>
  <c r="I12" i="14" s="1"/>
  <c r="K23" i="10" a="1"/>
  <c r="K23" i="10" s="1"/>
  <c r="F16" i="10"/>
  <c r="I16" i="10" s="1"/>
  <c r="F14" i="12"/>
  <c r="I14" i="12" s="1"/>
  <c r="K20" i="10" a="1"/>
  <c r="K20" i="10" s="1"/>
  <c r="C34" i="6"/>
  <c r="Q2" i="10" a="1"/>
  <c r="Q2" i="10" s="1"/>
  <c r="N2" i="10" s="1"/>
  <c r="L13" i="10" a="1"/>
  <c r="L13" i="10" s="1"/>
  <c r="Q13" i="10" a="1"/>
  <c r="Q13" i="10" s="1"/>
  <c r="N13" i="10" s="1"/>
  <c r="L5" i="10" a="1"/>
  <c r="L5" i="10" s="1"/>
  <c r="M5" i="10" s="1"/>
  <c r="Q5" i="10" a="1"/>
  <c r="Q5" i="10" s="1"/>
  <c r="N5" i="10" s="1"/>
  <c r="L23" i="10" a="1"/>
  <c r="L23" i="10" s="1"/>
  <c r="Q11" i="10" a="1"/>
  <c r="Q11" i="10" s="1"/>
  <c r="N11" i="10" s="1"/>
  <c r="Q12" i="10" a="1"/>
  <c r="Q12" i="10" s="1"/>
  <c r="N12" i="10" s="1"/>
  <c r="Q23" i="10" a="1"/>
  <c r="Q23" i="10" s="1"/>
  <c r="N23" i="10" s="1"/>
  <c r="Q20" i="10" a="1"/>
  <c r="Q20" i="10" s="1"/>
  <c r="N20" i="10" s="1"/>
  <c r="Q22" i="10" a="1"/>
  <c r="Q22" i="10" s="1"/>
  <c r="N22" i="10" s="1"/>
  <c r="L11" i="10" a="1"/>
  <c r="L11" i="10" s="1"/>
  <c r="L20" i="10" a="1"/>
  <c r="L20" i="10" s="1"/>
  <c r="M20" i="10" s="1"/>
  <c r="L2" i="10" a="1"/>
  <c r="L2" i="10" s="1"/>
  <c r="L22" i="10" a="1"/>
  <c r="L22" i="10" s="1"/>
  <c r="M22" i="10" s="1"/>
  <c r="L12" i="10" a="1"/>
  <c r="L12" i="10" s="1"/>
  <c r="F23" i="10"/>
  <c r="I23" i="10" s="1"/>
  <c r="F25" i="7"/>
  <c r="I25" i="7" s="1"/>
  <c r="F17" i="10"/>
  <c r="I17" i="10" s="1"/>
  <c r="F4" i="7"/>
  <c r="I4" i="7" s="1"/>
  <c r="F3" i="9"/>
  <c r="I3" i="9" s="1"/>
  <c r="I21" i="7"/>
  <c r="F10" i="7"/>
  <c r="I10" i="7" s="1"/>
  <c r="L20" i="7" a="1"/>
  <c r="L20" i="7" s="1"/>
  <c r="L17" i="7" a="1"/>
  <c r="L17" i="7" s="1"/>
  <c r="L12" i="7" a="1"/>
  <c r="L12" i="7" s="1"/>
  <c r="M12" i="7" s="1"/>
  <c r="L21" i="7" a="1"/>
  <c r="L21" i="7" s="1"/>
  <c r="L8" i="7" a="1"/>
  <c r="L8" i="7" s="1"/>
  <c r="M8" i="7" s="1"/>
  <c r="L25" i="7" a="1"/>
  <c r="L25" i="7" s="1"/>
  <c r="L23" i="7" a="1"/>
  <c r="L23" i="7" s="1"/>
  <c r="C26" i="6"/>
  <c r="L19" i="7" a="1"/>
  <c r="L19" i="7" s="1"/>
  <c r="L24" i="7" a="1"/>
  <c r="L24" i="7" s="1"/>
  <c r="L6" i="7" a="1"/>
  <c r="L6" i="7" s="1"/>
  <c r="M6" i="7" s="1"/>
  <c r="L13" i="7" a="1"/>
  <c r="L13" i="7" s="1"/>
  <c r="L18" i="7" a="1"/>
  <c r="L18" i="7" s="1"/>
  <c r="L3" i="7" a="1"/>
  <c r="L3" i="7" s="1"/>
  <c r="L14" i="7" a="1"/>
  <c r="L14" i="7" s="1"/>
  <c r="L7" i="7" a="1"/>
  <c r="L7" i="7" s="1"/>
  <c r="M7" i="7" s="1"/>
  <c r="L11" i="7" a="1"/>
  <c r="L11" i="7" s="1"/>
  <c r="L9" i="7" a="1"/>
  <c r="L9" i="7" s="1"/>
  <c r="L26" i="7" a="1"/>
  <c r="L26" i="7" s="1"/>
  <c r="L15" i="7" a="1"/>
  <c r="L15" i="7" s="1"/>
  <c r="L16" i="7" a="1"/>
  <c r="L16" i="7" s="1"/>
  <c r="L22" i="7" a="1"/>
  <c r="L22" i="7" s="1"/>
  <c r="M22" i="7" s="1"/>
  <c r="L10" i="7" a="1"/>
  <c r="L10" i="7" s="1"/>
  <c r="L27" i="7" a="1"/>
  <c r="L27" i="7" s="1"/>
  <c r="M27" i="7" s="1"/>
  <c r="L5" i="7" a="1"/>
  <c r="L5" i="7" s="1"/>
  <c r="M5" i="7" s="1"/>
  <c r="L28" i="7" a="1"/>
  <c r="L28" i="7" s="1"/>
  <c r="L2" i="7" a="1"/>
  <c r="L2" i="7" s="1"/>
  <c r="M2" i="7" s="1"/>
  <c r="Q11" i="14" a="1"/>
  <c r="Q11" i="14" s="1"/>
  <c r="N11" i="14" s="1"/>
  <c r="Q8" i="14" a="1"/>
  <c r="Q8" i="14" s="1"/>
  <c r="N8" i="14" s="1"/>
  <c r="Q10" i="14" a="1"/>
  <c r="Q10" i="14" s="1"/>
  <c r="N10" i="14" s="1"/>
  <c r="Q5" i="14" a="1"/>
  <c r="Q5" i="14" s="1"/>
  <c r="N5" i="14" s="1"/>
  <c r="Q7" i="14" a="1"/>
  <c r="Q7" i="14" s="1"/>
  <c r="N7" i="14" s="1"/>
  <c r="L5" i="14" a="1"/>
  <c r="L5" i="14" s="1"/>
  <c r="L11" i="14" a="1"/>
  <c r="L11" i="14" s="1"/>
  <c r="L8" i="14" a="1"/>
  <c r="L8" i="14" s="1"/>
  <c r="M8" i="14" s="1"/>
  <c r="L7" i="14" a="1"/>
  <c r="L7" i="14" s="1"/>
  <c r="L10" i="14" a="1"/>
  <c r="L10" i="14" s="1"/>
  <c r="Q5" i="13" a="1"/>
  <c r="Q5" i="13" s="1"/>
  <c r="N5" i="13" s="1"/>
  <c r="Q2" i="12" a="1"/>
  <c r="Q2" i="12" s="1"/>
  <c r="N2" i="12" s="1"/>
  <c r="Q12" i="12" a="1"/>
  <c r="Q12" i="12" s="1"/>
  <c r="N12" i="12" s="1"/>
  <c r="Q6" i="12" a="1"/>
  <c r="Q6" i="12" s="1"/>
  <c r="N6" i="12" s="1"/>
  <c r="Q5" i="12" a="1"/>
  <c r="Q5" i="12" s="1"/>
  <c r="N5" i="12" s="1"/>
  <c r="Q3" i="13" a="1"/>
  <c r="Q3" i="13" s="1"/>
  <c r="N3" i="13" s="1"/>
  <c r="Q9" i="12" a="1"/>
  <c r="Q9" i="12" s="1"/>
  <c r="Q10" i="12" a="1"/>
  <c r="Q10" i="12" s="1"/>
  <c r="Q11" i="12" a="1"/>
  <c r="Q11" i="12" s="1"/>
  <c r="Q14" i="12" a="1"/>
  <c r="Q14" i="12" s="1"/>
  <c r="Q8" i="12" a="1"/>
  <c r="Q8" i="12" s="1"/>
  <c r="N8" i="12" s="1"/>
  <c r="Q3" i="12" a="1"/>
  <c r="Q3" i="12" s="1"/>
  <c r="N3" i="12" s="1"/>
  <c r="Q4" i="13" a="1"/>
  <c r="Q4" i="13" s="1"/>
  <c r="N4" i="13" s="1"/>
  <c r="Q7" i="12" a="1"/>
  <c r="Q7" i="12" s="1"/>
  <c r="Q13" i="12" a="1"/>
  <c r="Q13" i="12" s="1"/>
  <c r="N13" i="12" s="1"/>
  <c r="Q2" i="13" a="1"/>
  <c r="Q2" i="13" s="1"/>
  <c r="N2" i="13" s="1"/>
  <c r="L13" i="12" a="1"/>
  <c r="L13" i="12" s="1"/>
  <c r="L2" i="13" a="1"/>
  <c r="L2" i="13" s="1"/>
  <c r="M2" i="13" s="1"/>
  <c r="Q4" i="12" a="1"/>
  <c r="Q4" i="12" s="1"/>
  <c r="Q6" i="13" a="1"/>
  <c r="Q6" i="13" s="1"/>
  <c r="N6" i="13" s="1"/>
  <c r="L11" i="12" a="1"/>
  <c r="L11" i="12" s="1"/>
  <c r="L7" i="12" a="1"/>
  <c r="L7" i="12" s="1"/>
  <c r="L2" i="12" a="1"/>
  <c r="L2" i="12" s="1"/>
  <c r="L12" i="12" a="1"/>
  <c r="L12" i="12" s="1"/>
  <c r="L10" i="12" a="1"/>
  <c r="L10" i="12" s="1"/>
  <c r="L4" i="13" a="1"/>
  <c r="L4" i="13" s="1"/>
  <c r="M4" i="13" s="1"/>
  <c r="L6" i="12" a="1"/>
  <c r="L6" i="12" s="1"/>
  <c r="L4" i="12" a="1"/>
  <c r="L4" i="12" s="1"/>
  <c r="L6" i="13" a="1"/>
  <c r="L6" i="13" s="1"/>
  <c r="L3" i="12" a="1"/>
  <c r="L3" i="12" s="1"/>
  <c r="L3" i="13" a="1"/>
  <c r="L3" i="13" s="1"/>
  <c r="M3" i="13" s="1"/>
  <c r="L14" i="12" a="1"/>
  <c r="L14" i="12" s="1"/>
  <c r="L9" i="12" a="1"/>
  <c r="L9" i="12" s="1"/>
  <c r="L8" i="12" a="1"/>
  <c r="L8" i="12" s="1"/>
  <c r="L5" i="13" a="1"/>
  <c r="L5" i="13" s="1"/>
  <c r="L5" i="12" a="1"/>
  <c r="L5" i="12" s="1"/>
  <c r="M5" i="12" s="1"/>
  <c r="Q18" i="10" a="1"/>
  <c r="Q18" i="10" s="1"/>
  <c r="N18" i="10" s="1"/>
  <c r="Q6" i="10" a="1"/>
  <c r="Q6" i="10" s="1"/>
  <c r="N6" i="10" s="1"/>
  <c r="L4" i="10" a="1"/>
  <c r="L4" i="10" s="1"/>
  <c r="Q21" i="10" a="1"/>
  <c r="Q21" i="10" s="1"/>
  <c r="N21" i="10" s="1"/>
  <c r="Q7" i="10" a="1"/>
  <c r="Q7" i="10" s="1"/>
  <c r="Q14" i="10" a="1"/>
  <c r="Q14" i="10" s="1"/>
  <c r="N14" i="10" s="1"/>
  <c r="Q10" i="10" a="1"/>
  <c r="Q10" i="10" s="1"/>
  <c r="N10" i="10" s="1"/>
  <c r="L7" i="10" a="1"/>
  <c r="L7" i="10" s="1"/>
  <c r="Q9" i="10" a="1"/>
  <c r="Q9" i="10" s="1"/>
  <c r="Q19" i="10" a="1"/>
  <c r="Q19" i="10" s="1"/>
  <c r="N19" i="10" s="1"/>
  <c r="Q16" i="10" a="1"/>
  <c r="Q16" i="10" s="1"/>
  <c r="N16" i="10" s="1"/>
  <c r="Q15" i="10" a="1"/>
  <c r="Q15" i="10" s="1"/>
  <c r="N15" i="10" s="1"/>
  <c r="L16" i="10" a="1"/>
  <c r="L16" i="10" s="1"/>
  <c r="Q17" i="10" a="1"/>
  <c r="Q17" i="10" s="1"/>
  <c r="N17" i="10" s="1"/>
  <c r="Q8" i="10" a="1"/>
  <c r="Q8" i="10" s="1"/>
  <c r="Q4" i="10" a="1"/>
  <c r="Q4" i="10" s="1"/>
  <c r="Q3" i="10" a="1"/>
  <c r="Q3" i="10" s="1"/>
  <c r="N3" i="10" s="1"/>
  <c r="L8" i="10" a="1"/>
  <c r="L8" i="10" s="1"/>
  <c r="L14" i="10" a="1"/>
  <c r="L14" i="10" s="1"/>
  <c r="L19" i="10" a="1"/>
  <c r="L19" i="10" s="1"/>
  <c r="L3" i="10" a="1"/>
  <c r="L3" i="10" s="1"/>
  <c r="L10" i="10" a="1"/>
  <c r="L10" i="10" s="1"/>
  <c r="L6" i="10" a="1"/>
  <c r="L6" i="10" s="1"/>
  <c r="M6" i="10" s="1"/>
  <c r="L18" i="10" a="1"/>
  <c r="L18" i="10" s="1"/>
  <c r="L17" i="10" a="1"/>
  <c r="L17" i="10" s="1"/>
  <c r="L9" i="10" a="1"/>
  <c r="L9" i="10" s="1"/>
  <c r="L15" i="10" a="1"/>
  <c r="L15" i="10" s="1"/>
  <c r="L21" i="10" a="1"/>
  <c r="L21" i="10" s="1"/>
  <c r="L4" i="9" a="1"/>
  <c r="L4" i="9" s="1"/>
  <c r="L5" i="9" a="1"/>
  <c r="L5" i="9" s="1"/>
  <c r="L9" i="9" a="1"/>
  <c r="L9" i="9" s="1"/>
  <c r="L2" i="9" a="1"/>
  <c r="L2" i="9" s="1"/>
  <c r="L15" i="9" a="1"/>
  <c r="L15" i="9" s="1"/>
  <c r="L13" i="9" a="1"/>
  <c r="L13" i="9" s="1"/>
  <c r="L17" i="9" a="1"/>
  <c r="L17" i="9" s="1"/>
  <c r="L3" i="9" a="1"/>
  <c r="L3" i="9" s="1"/>
  <c r="L8" i="9" a="1"/>
  <c r="L8" i="9" s="1"/>
  <c r="L14" i="9" a="1"/>
  <c r="L14" i="9" s="1"/>
  <c r="L12" i="9" a="1"/>
  <c r="L12" i="9" s="1"/>
  <c r="L6" i="9" a="1"/>
  <c r="L6" i="9" s="1"/>
  <c r="M6" i="9" s="1"/>
  <c r="L10" i="9" a="1"/>
  <c r="L10" i="9" s="1"/>
  <c r="L11" i="9" a="1"/>
  <c r="L11" i="9" s="1"/>
  <c r="L7" i="9" a="1"/>
  <c r="L7" i="9" s="1"/>
  <c r="P11" i="9" a="1"/>
  <c r="P11" i="9" s="1"/>
  <c r="N11" i="9" s="1"/>
  <c r="P3" i="9" a="1"/>
  <c r="P3" i="9" s="1"/>
  <c r="N3" i="9" s="1"/>
  <c r="P9" i="9" a="1"/>
  <c r="P9" i="9" s="1"/>
  <c r="N9" i="9" s="1"/>
  <c r="P14" i="9" a="1"/>
  <c r="P14" i="9" s="1"/>
  <c r="P5" i="9" a="1"/>
  <c r="P5" i="9" s="1"/>
  <c r="P15" i="9" a="1"/>
  <c r="P15" i="9" s="1"/>
  <c r="N15" i="9" s="1"/>
  <c r="P12" i="9" a="1"/>
  <c r="P12" i="9" s="1"/>
  <c r="N12" i="9" s="1"/>
  <c r="P8" i="9" a="1"/>
  <c r="P8" i="9" s="1"/>
  <c r="N8" i="9" s="1"/>
  <c r="P17" i="9" a="1"/>
  <c r="P17" i="9" s="1"/>
  <c r="N17" i="9" s="1"/>
  <c r="P16" i="9" a="1"/>
  <c r="P16" i="9" s="1"/>
  <c r="N16" i="9" s="1"/>
  <c r="P6" i="9" a="1"/>
  <c r="P6" i="9" s="1"/>
  <c r="P7" i="9" a="1"/>
  <c r="P7" i="9" s="1"/>
  <c r="N7" i="9" s="1"/>
  <c r="P10" i="9" a="1"/>
  <c r="P10" i="9" s="1"/>
  <c r="P2" i="9" a="1"/>
  <c r="P2" i="9" s="1"/>
  <c r="P13" i="9" a="1"/>
  <c r="P13" i="9" s="1"/>
  <c r="P4" i="9" a="1"/>
  <c r="P4" i="9" s="1"/>
  <c r="N4" i="9" s="1"/>
  <c r="L16" i="9" a="1"/>
  <c r="L16" i="9" s="1"/>
  <c r="C2" i="6"/>
  <c r="P15" i="7" a="1"/>
  <c r="P15" i="7" s="1"/>
  <c r="P12" i="7" a="1"/>
  <c r="P12" i="7" s="1"/>
  <c r="P23" i="7" a="1"/>
  <c r="P23" i="7" s="1"/>
  <c r="P28" i="7" a="1"/>
  <c r="P28" i="7" s="1"/>
  <c r="P18" i="7" a="1"/>
  <c r="P18" i="7" s="1"/>
  <c r="P24" i="7" a="1"/>
  <c r="P24" i="7" s="1"/>
  <c r="P20" i="7" a="1"/>
  <c r="P20" i="7" s="1"/>
  <c r="P21" i="7" a="1"/>
  <c r="P21" i="7" s="1"/>
  <c r="N21" i="7" s="1"/>
  <c r="P4" i="7" a="1"/>
  <c r="P4" i="7" s="1"/>
  <c r="P25" i="7" a="1"/>
  <c r="P25" i="7" s="1"/>
  <c r="N25" i="7" s="1"/>
  <c r="P9" i="7" a="1"/>
  <c r="P9" i="7" s="1"/>
  <c r="N9" i="7" s="1"/>
  <c r="P16" i="7" a="1"/>
  <c r="P16" i="7" s="1"/>
  <c r="P27" i="7" a="1"/>
  <c r="P27" i="7" s="1"/>
  <c r="P5" i="7" a="1"/>
  <c r="P5" i="7" s="1"/>
  <c r="P17" i="7" a="1"/>
  <c r="P17" i="7" s="1"/>
  <c r="P6" i="7" a="1"/>
  <c r="P6" i="7" s="1"/>
  <c r="N6" i="7" s="1"/>
  <c r="P2" i="7" a="1"/>
  <c r="P2" i="7" s="1"/>
  <c r="N2" i="7" s="1"/>
  <c r="P10" i="7" a="1"/>
  <c r="P10" i="7" s="1"/>
  <c r="P8" i="7" a="1"/>
  <c r="P8" i="7" s="1"/>
  <c r="N8" i="7" s="1"/>
  <c r="P11" i="7" a="1"/>
  <c r="P11" i="7" s="1"/>
  <c r="P14" i="7" a="1"/>
  <c r="P14" i="7" s="1"/>
  <c r="P26" i="7" a="1"/>
  <c r="P26" i="7" s="1"/>
  <c r="P22" i="7" a="1"/>
  <c r="P22" i="7" s="1"/>
  <c r="P13" i="7" a="1"/>
  <c r="P13" i="7" s="1"/>
  <c r="P3" i="7" a="1"/>
  <c r="P3" i="7" s="1"/>
  <c r="N3" i="7" s="1"/>
  <c r="P19" i="7" a="1"/>
  <c r="P19" i="7" s="1"/>
  <c r="P7" i="7" a="1"/>
  <c r="P7" i="7" s="1"/>
  <c r="N7" i="7" s="1"/>
  <c r="Q4" i="5"/>
  <c r="Q5" i="5"/>
  <c r="Q6" i="5"/>
  <c r="Q3" i="5"/>
  <c r="Q7" i="5"/>
  <c r="Q2" i="5"/>
  <c r="I3" i="7"/>
  <c r="R4" i="4"/>
  <c r="R5" i="4"/>
  <c r="R2" i="4"/>
  <c r="R6" i="4"/>
  <c r="R7" i="4"/>
  <c r="R3" i="4"/>
  <c r="L4" i="7" a="1"/>
  <c r="L4" i="7" s="1"/>
  <c r="I28" i="7"/>
  <c r="Q2" i="3"/>
  <c r="I13" i="7"/>
  <c r="Q3" i="2"/>
  <c r="Q2" i="2"/>
  <c r="Q7" i="2"/>
  <c r="Q6" i="2"/>
  <c r="Q5" i="2"/>
  <c r="Q4" i="2"/>
  <c r="Q7" i="3"/>
  <c r="I11" i="7"/>
  <c r="Q4" i="3"/>
  <c r="Q3" i="3"/>
  <c r="Q5" i="3"/>
  <c r="Q6" i="3"/>
  <c r="M13" i="10" l="1"/>
  <c r="N6" i="9"/>
  <c r="M23" i="7"/>
  <c r="N23" i="7" s="1"/>
  <c r="N12" i="7"/>
  <c r="N27" i="7"/>
  <c r="N22" i="7"/>
  <c r="N5" i="7"/>
  <c r="M21" i="7"/>
  <c r="M9" i="7"/>
  <c r="M11" i="7"/>
  <c r="N11" i="7" s="1"/>
  <c r="M3" i="7"/>
  <c r="M28" i="7"/>
  <c r="N28" i="7" s="1"/>
  <c r="M2" i="14"/>
  <c r="M12" i="10"/>
  <c r="M2" i="10"/>
  <c r="M12" i="14"/>
  <c r="M6" i="14"/>
  <c r="M23" i="10"/>
  <c r="M11" i="10"/>
  <c r="M3" i="9"/>
  <c r="R6" i="5"/>
  <c r="R5" i="5"/>
  <c r="S7" i="4"/>
  <c r="R5" i="3"/>
  <c r="R3" i="5"/>
  <c r="M4" i="7"/>
  <c r="N4" i="7" s="1"/>
  <c r="R7" i="3"/>
  <c r="S6" i="4"/>
  <c r="S2" i="4"/>
  <c r="S5" i="4"/>
  <c r="R2" i="3"/>
  <c r="S4" i="4"/>
  <c r="R6" i="3"/>
  <c r="R2" i="5"/>
  <c r="R7" i="5"/>
  <c r="R3" i="3"/>
  <c r="R4" i="3"/>
  <c r="S3" i="4"/>
  <c r="R4" i="5"/>
  <c r="R6" i="2"/>
  <c r="R2" i="2"/>
  <c r="R4" i="2"/>
  <c r="R5" i="2"/>
  <c r="R7" i="2"/>
  <c r="R3" i="2"/>
  <c r="K27" i="7" a="1"/>
  <c r="K27" i="7" s="1"/>
  <c r="K6" i="9" a="1"/>
  <c r="K6" i="9" s="1"/>
  <c r="K8" i="14" a="1"/>
  <c r="K8" i="14" s="1"/>
  <c r="K14" i="12" a="1"/>
  <c r="K14" i="12" s="1"/>
  <c r="M14" i="12" s="1"/>
  <c r="N14" i="12" s="1"/>
  <c r="K4" i="13" a="1"/>
  <c r="K4" i="13" s="1"/>
  <c r="K4" i="7" a="1"/>
  <c r="K4" i="7" s="1"/>
  <c r="K9" i="7" a="1"/>
  <c r="K9" i="7" s="1"/>
  <c r="K23" i="7" a="1"/>
  <c r="K23" i="7" s="1"/>
  <c r="K11" i="7" a="1"/>
  <c r="K11" i="7" s="1"/>
  <c r="K21" i="7" a="1"/>
  <c r="K21" i="7" s="1"/>
  <c r="K6" i="7" a="1"/>
  <c r="K6" i="7" s="1"/>
  <c r="K12" i="9" a="1"/>
  <c r="K12" i="9" s="1"/>
  <c r="M12" i="9" s="1"/>
  <c r="K3" i="7" a="1"/>
  <c r="K3" i="7" s="1"/>
  <c r="K6" i="10" a="1"/>
  <c r="K6" i="10" s="1"/>
  <c r="K24" i="7" a="1"/>
  <c r="K24" i="7" s="1"/>
  <c r="M24" i="7" s="1"/>
  <c r="N24" i="7" s="1"/>
  <c r="K5" i="7" a="1"/>
  <c r="K5" i="7" s="1"/>
  <c r="K14" i="7" a="1"/>
  <c r="K14" i="7" s="1"/>
  <c r="M14" i="7" s="1"/>
  <c r="N14" i="7" s="1"/>
  <c r="K11" i="12" a="1"/>
  <c r="K11" i="12" s="1"/>
  <c r="M11" i="12" s="1"/>
  <c r="N11" i="12" s="1"/>
  <c r="K15" i="7" a="1"/>
  <c r="K15" i="7" s="1"/>
  <c r="M15" i="7" s="1"/>
  <c r="N15" i="7" s="1"/>
  <c r="K10" i="7" a="1"/>
  <c r="K10" i="7" s="1"/>
  <c r="M10" i="7" s="1"/>
  <c r="N10" i="7" s="1"/>
  <c r="K8" i="7" a="1"/>
  <c r="K8" i="7" s="1"/>
  <c r="K3" i="9" a="1"/>
  <c r="K3" i="9" s="1"/>
  <c r="K17" i="7" a="1"/>
  <c r="K17" i="7" s="1"/>
  <c r="M17" i="7" s="1"/>
  <c r="N17" i="7" s="1"/>
  <c r="K28" i="7" a="1"/>
  <c r="K28" i="7" s="1"/>
  <c r="K2" i="7" a="1"/>
  <c r="K2" i="7" s="1"/>
  <c r="K25" i="7" a="1"/>
  <c r="K25" i="7" s="1"/>
  <c r="M25" i="7" s="1"/>
  <c r="K7" i="7" a="1"/>
  <c r="K7" i="7" s="1"/>
  <c r="K20" i="7" a="1"/>
  <c r="K20" i="7" s="1"/>
  <c r="M20" i="7" s="1"/>
  <c r="N20" i="7" s="1"/>
  <c r="K16" i="7" a="1"/>
  <c r="K16" i="7" s="1"/>
  <c r="M16" i="7" s="1"/>
  <c r="N16" i="7" s="1"/>
  <c r="K19" i="7" a="1"/>
  <c r="K19" i="7" s="1"/>
  <c r="M19" i="7" s="1"/>
  <c r="N19" i="7" s="1"/>
  <c r="K18" i="7" a="1"/>
  <c r="K18" i="7" s="1"/>
  <c r="M18" i="7" s="1"/>
  <c r="N18" i="7" s="1"/>
  <c r="M11" i="9"/>
  <c r="K5" i="12" a="1"/>
  <c r="K5" i="12" s="1"/>
  <c r="K9" i="9" a="1"/>
  <c r="K9" i="9" s="1"/>
  <c r="M9" i="9" s="1"/>
  <c r="K26" i="7" a="1"/>
  <c r="K26" i="7" s="1"/>
  <c r="M26" i="7" s="1"/>
  <c r="N26" i="7" s="1"/>
  <c r="K2" i="13" a="1"/>
  <c r="K2" i="13" s="1"/>
  <c r="K13" i="7" a="1"/>
  <c r="K13" i="7" s="1"/>
  <c r="M13" i="7" s="1"/>
  <c r="N13" i="7" s="1"/>
  <c r="K22" i="7" a="1"/>
  <c r="K22" i="7" s="1"/>
  <c r="K12" i="7" a="1"/>
  <c r="K12" i="7" s="1"/>
  <c r="K3" i="13" a="1"/>
  <c r="K3" i="13" s="1"/>
  <c r="K17" i="9" l="1" a="1"/>
  <c r="K17" i="9" s="1"/>
  <c r="M17" i="9" s="1"/>
  <c r="M15" i="10"/>
  <c r="K15" i="10" a="1"/>
  <c r="K15" i="10" s="1"/>
  <c r="M3" i="12"/>
  <c r="K3" i="12" a="1"/>
  <c r="K3" i="12" s="1"/>
  <c r="K8" i="9" a="1"/>
  <c r="K8" i="9" s="1"/>
  <c r="M8" i="9" s="1"/>
  <c r="M10" i="10"/>
  <c r="K10" i="10" a="1"/>
  <c r="K10" i="10" s="1"/>
  <c r="M4" i="9"/>
  <c r="K4" i="9" a="1"/>
  <c r="K4" i="9" s="1"/>
  <c r="M19" i="10"/>
  <c r="K19" i="10" a="1"/>
  <c r="K19" i="10" s="1"/>
  <c r="K14" i="10" a="1"/>
  <c r="K14" i="10" s="1"/>
  <c r="M14" i="10" s="1"/>
  <c r="M7" i="14"/>
  <c r="K7" i="14" a="1"/>
  <c r="K7" i="14" s="1"/>
  <c r="K13" i="9" a="1"/>
  <c r="K13" i="9" s="1"/>
  <c r="M13" i="9" s="1"/>
  <c r="N13" i="9" s="1"/>
  <c r="K10" i="12" a="1"/>
  <c r="K10" i="12" s="1"/>
  <c r="M10" i="12" s="1"/>
  <c r="N10" i="12" s="1"/>
  <c r="K7" i="10" a="1"/>
  <c r="K7" i="10" s="1"/>
  <c r="M7" i="10" s="1"/>
  <c r="N7" i="10" s="1"/>
  <c r="K5" i="9" a="1"/>
  <c r="K5" i="9" s="1"/>
  <c r="M5" i="9" s="1"/>
  <c r="N5" i="9" s="1"/>
  <c r="M11" i="14"/>
  <c r="K11" i="14" a="1"/>
  <c r="K11" i="14" s="1"/>
  <c r="M13" i="12"/>
  <c r="K13" i="12" a="1"/>
  <c r="K13" i="12" s="1"/>
  <c r="M3" i="10"/>
  <c r="K3" i="10" a="1"/>
  <c r="K3" i="10" s="1"/>
  <c r="M6" i="13"/>
  <c r="K6" i="13" a="1"/>
  <c r="K6" i="13" s="1"/>
  <c r="K9" i="12" a="1"/>
  <c r="K9" i="12" s="1"/>
  <c r="M9" i="12" s="1"/>
  <c r="N9" i="12" s="1"/>
  <c r="M7" i="9"/>
  <c r="K7" i="9" a="1"/>
  <c r="K7" i="9" s="1"/>
  <c r="M12" i="12"/>
  <c r="K12" i="12" a="1"/>
  <c r="K12" i="12" s="1"/>
  <c r="M18" i="10"/>
  <c r="K18" i="10" a="1"/>
  <c r="K18" i="10" s="1"/>
  <c r="M14" i="9"/>
  <c r="N14" i="9" s="1"/>
  <c r="K14" i="9" a="1"/>
  <c r="K14" i="9" s="1"/>
  <c r="K6" i="12" a="1"/>
  <c r="K6" i="12" s="1"/>
  <c r="M6" i="12" s="1"/>
  <c r="M5" i="13"/>
  <c r="K5" i="13" a="1"/>
  <c r="K5" i="13" s="1"/>
  <c r="K8" i="10" a="1"/>
  <c r="K8" i="10" s="1"/>
  <c r="M8" i="10" s="1"/>
  <c r="N8" i="10" s="1"/>
  <c r="M4" i="12"/>
  <c r="N4" i="12" s="1"/>
  <c r="K4" i="12" a="1"/>
  <c r="K4" i="12" s="1"/>
  <c r="M21" i="10"/>
  <c r="K21" i="10" a="1"/>
  <c r="K21" i="10" s="1"/>
  <c r="K9" i="10" a="1"/>
  <c r="K9" i="10" s="1"/>
  <c r="M9" i="10" s="1"/>
  <c r="N9" i="10" s="1"/>
  <c r="M2" i="12"/>
  <c r="K2" i="12" a="1"/>
  <c r="K2" i="12" s="1"/>
  <c r="M15" i="9"/>
  <c r="K15" i="9" a="1"/>
  <c r="K15" i="9" s="1"/>
  <c r="M2" i="9"/>
  <c r="N2" i="9" s="1"/>
  <c r="K2" i="9" a="1"/>
  <c r="K2" i="9" s="1"/>
  <c r="M17" i="10"/>
  <c r="K17" i="10" a="1"/>
  <c r="K17" i="10" s="1"/>
  <c r="K10" i="9" a="1"/>
  <c r="K10" i="9" s="1"/>
  <c r="M10" i="9" s="1"/>
  <c r="N10" i="9" s="1"/>
  <c r="K7" i="12" a="1"/>
  <c r="K7" i="12" s="1"/>
  <c r="M7" i="12" s="1"/>
  <c r="N7" i="12" s="1"/>
  <c r="K4" i="10" a="1"/>
  <c r="K4" i="10" s="1"/>
  <c r="M4" i="10" s="1"/>
  <c r="N4" i="10" s="1"/>
  <c r="K16" i="10" a="1"/>
  <c r="K16" i="10" s="1"/>
  <c r="M16" i="10" s="1"/>
  <c r="M10" i="14"/>
  <c r="K10" i="14" a="1"/>
  <c r="K10" i="14" s="1"/>
  <c r="M5" i="14"/>
  <c r="T11" i="14" s="1"/>
  <c r="K5" i="14" a="1"/>
  <c r="K5" i="14" s="1"/>
  <c r="K16" i="9" a="1"/>
  <c r="K16" i="9" s="1"/>
  <c r="M16" i="9" s="1"/>
  <c r="M8" i="12"/>
  <c r="K8" i="12" a="1"/>
  <c r="K8" i="12" s="1"/>
  <c r="T7" i="10" l="1"/>
  <c r="T10" i="10"/>
  <c r="T10" i="13"/>
  <c r="T10" i="14"/>
  <c r="T7" i="14"/>
  <c r="T9" i="14"/>
  <c r="T6" i="14"/>
  <c r="T8" i="14"/>
  <c r="T8" i="13"/>
  <c r="T9" i="13"/>
  <c r="T7" i="13"/>
  <c r="T11" i="12"/>
  <c r="T8" i="10"/>
  <c r="T6" i="10"/>
  <c r="T9" i="10"/>
  <c r="T11" i="10"/>
  <c r="S10" i="9"/>
  <c r="S11" i="9"/>
  <c r="T9" i="12"/>
  <c r="T7" i="12"/>
  <c r="S6" i="9"/>
  <c r="T6" i="12"/>
  <c r="S7" i="9"/>
  <c r="T10" i="12"/>
  <c r="S8" i="9"/>
  <c r="S9" i="9"/>
  <c r="T8" i="12"/>
  <c r="T6" i="13"/>
  <c r="T11" i="13"/>
  <c r="S10" i="7"/>
  <c r="S6" i="7"/>
  <c r="S11" i="7"/>
  <c r="S8" i="7"/>
  <c r="S7" i="7"/>
  <c r="S9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<sst xmlns="http://schemas.openxmlformats.org/spreadsheetml/2006/main" count="518" uniqueCount="188">
  <si>
    <t>Indeks</t>
  </si>
  <si>
    <t>Prezime i ime</t>
  </si>
  <si>
    <t>Prezime i ime (ćirilica)</t>
  </si>
  <si>
    <t>Prezime i ime (latinica)</t>
  </si>
  <si>
    <t>Odsek</t>
  </si>
  <si>
    <t>2014/0346</t>
  </si>
  <si>
    <t>Лазаревић Дејан</t>
  </si>
  <si>
    <t>2017/0635</t>
  </si>
  <si>
    <t>Милетић Марија</t>
  </si>
  <si>
    <t>SI</t>
  </si>
  <si>
    <t>2016/0478</t>
  </si>
  <si>
    <t>Роган Александар</t>
  </si>
  <si>
    <t>RTI</t>
  </si>
  <si>
    <t>Lazarević Dejan</t>
  </si>
  <si>
    <t>Miletić Marija</t>
  </si>
  <si>
    <t>Rogan Aleksandar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</si>
  <si>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</si>
  <si>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</si>
  <si>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</si>
  <si>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</si>
  <si>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</si>
  <si>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</si>
  <si>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</si>
  <si>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</si>
  <si>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</si>
  <si>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</si>
  <si>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Broj</t>
  </si>
  <si>
    <t>Ocena</t>
  </si>
  <si>
    <t>T2 (10)</t>
  </si>
  <si>
    <t>T4 (10)</t>
  </si>
  <si>
    <t>T1 (10)</t>
  </si>
  <si>
    <t>K1</t>
  </si>
  <si>
    <t>K2</t>
  </si>
  <si>
    <t>L2</t>
  </si>
  <si>
    <t>L4</t>
  </si>
  <si>
    <t>Email</t>
  </si>
  <si>
    <t>Ukupno</t>
  </si>
  <si>
    <t>DZ1</t>
  </si>
  <si>
    <t>DZ2</t>
  </si>
  <si>
    <t>L</t>
  </si>
  <si>
    <t>D</t>
  </si>
  <si>
    <t>K</t>
  </si>
  <si>
    <t>I</t>
  </si>
  <si>
    <t>P</t>
  </si>
  <si>
    <t>Rok</t>
  </si>
  <si>
    <t>I rok</t>
  </si>
  <si>
    <t>DZ rok</t>
  </si>
  <si>
    <t>Procenat</t>
  </si>
  <si>
    <t>Procenatt</t>
  </si>
  <si>
    <t>Ime i prezime</t>
  </si>
  <si>
    <t>Datum</t>
  </si>
  <si>
    <t>Jun</t>
  </si>
  <si>
    <t>Jul</t>
  </si>
  <si>
    <t>Avgust</t>
  </si>
  <si>
    <t>Dodato</t>
  </si>
  <si>
    <t>Septembar</t>
  </si>
  <si>
    <t>Oktobar</t>
  </si>
  <si>
    <t>Februar</t>
  </si>
  <si>
    <t>2015/0119</t>
  </si>
  <si>
    <t>Лаушевић Иван</t>
  </si>
  <si>
    <t>2015/0433</t>
  </si>
  <si>
    <t>Красић Стефан</t>
  </si>
  <si>
    <t>2017/0606</t>
  </si>
  <si>
    <t>Бакић Вук</t>
  </si>
  <si>
    <t>2018/0418</t>
  </si>
  <si>
    <t>Поповић Димитрије</t>
  </si>
  <si>
    <t>2018/0660</t>
  </si>
  <si>
    <t>Милошевић Исидора</t>
  </si>
  <si>
    <t>2018/0719</t>
  </si>
  <si>
    <t>Марјановић Ивана</t>
  </si>
  <si>
    <t>2016/0270</t>
  </si>
  <si>
    <t>Јаневски Иван</t>
  </si>
  <si>
    <t>2018/0346</t>
  </si>
  <si>
    <t>Обрадовић Марко</t>
  </si>
  <si>
    <t>ji160270d@student.etf.bg.ac.rs</t>
  </si>
  <si>
    <t>mi180660d@student.etf.bg.ac.rs</t>
  </si>
  <si>
    <t>ra160478d@student.etf.rs</t>
  </si>
  <si>
    <t>Laušević Ivan</t>
  </si>
  <si>
    <t>Krasić Stefan</t>
  </si>
  <si>
    <t>Bakić Vuk</t>
  </si>
  <si>
    <t>Popović Dimitrije</t>
  </si>
  <si>
    <t>Milošević Isidora</t>
  </si>
  <si>
    <t>Marjanović Ivana</t>
  </si>
  <si>
    <t>Janevski Ivan</t>
  </si>
  <si>
    <t>Obradović Marko</t>
  </si>
  <si>
    <t>T10 (10)</t>
  </si>
  <si>
    <t>T3 (5)</t>
  </si>
  <si>
    <t>2021/3373</t>
  </si>
  <si>
    <t>Михаило Фолић</t>
  </si>
  <si>
    <t>М</t>
  </si>
  <si>
    <t>2017/0140</t>
  </si>
  <si>
    <t>Радуловић Вук</t>
  </si>
  <si>
    <t>2017/0262</t>
  </si>
  <si>
    <t>Адамовић Алекса</t>
  </si>
  <si>
    <t>2019/0066</t>
  </si>
  <si>
    <t>Стојиљковић Алекса</t>
  </si>
  <si>
    <t>2019/0236</t>
  </si>
  <si>
    <t>Спасојевић Александар</t>
  </si>
  <si>
    <t>2019/0385</t>
  </si>
  <si>
    <t>Ковачевић Милош</t>
  </si>
  <si>
    <t>2019/0487</t>
  </si>
  <si>
    <t>Микановић Дарко</t>
  </si>
  <si>
    <t>2019/0559</t>
  </si>
  <si>
    <t>Војиновић Марко</t>
  </si>
  <si>
    <t>2019/0649</t>
  </si>
  <si>
    <t>Курепа Ања</t>
  </si>
  <si>
    <t>2019/0022</t>
  </si>
  <si>
    <t>Јовановић Маја</t>
  </si>
  <si>
    <t>2019/0068</t>
  </si>
  <si>
    <t>Стефановић Марија</t>
  </si>
  <si>
    <t>2019/0607</t>
  </si>
  <si>
    <t>Мандушић Данило</t>
  </si>
  <si>
    <t>2019/0731</t>
  </si>
  <si>
    <t>Драгутиновић Марко</t>
  </si>
  <si>
    <t>2020/0009</t>
  </si>
  <si>
    <t>Зорић Ана</t>
  </si>
  <si>
    <t>2020/0108</t>
  </si>
  <si>
    <t>Перић Драган</t>
  </si>
  <si>
    <t>2020/0248</t>
  </si>
  <si>
    <t>Самарџић Леа</t>
  </si>
  <si>
    <t>2020/0253</t>
  </si>
  <si>
    <t>Мајсторовић Љубица</t>
  </si>
  <si>
    <t>2020/0327</t>
  </si>
  <si>
    <t>Јовановић Милена</t>
  </si>
  <si>
    <t>2020/0459</t>
  </si>
  <si>
    <t>Бојовић Ана</t>
  </si>
  <si>
    <t>2020/0627</t>
  </si>
  <si>
    <t>Ђурић Ања</t>
  </si>
  <si>
    <t>Mihailo Folić</t>
  </si>
  <si>
    <t>Radulović Vuk</t>
  </si>
  <si>
    <t>Adamović Aleksa</t>
  </si>
  <si>
    <t>Stojiljković Aleksa</t>
  </si>
  <si>
    <t>Spasojević Aleksandar</t>
  </si>
  <si>
    <t>Kovačević Miloš</t>
  </si>
  <si>
    <t>Mikanović Darko</t>
  </si>
  <si>
    <t>Vojinović Marko</t>
  </si>
  <si>
    <t>Kurepa Anja</t>
  </si>
  <si>
    <t>Jovanović Maja</t>
  </si>
  <si>
    <t>Stefanović Marija</t>
  </si>
  <si>
    <t>Mandušić Danilo</t>
  </si>
  <si>
    <t>Dragutinović Marko</t>
  </si>
  <si>
    <t>Zorić Ana</t>
  </si>
  <si>
    <t>Perić Dragan</t>
  </si>
  <si>
    <t>Samardžić Lea</t>
  </si>
  <si>
    <t>Majstorović Ljubica</t>
  </si>
  <si>
    <t>Jovanović Milena</t>
  </si>
  <si>
    <t>Bojović Ana</t>
  </si>
  <si>
    <t>Đurić Anja</t>
  </si>
  <si>
    <t>vm190559d@student.etf.bg.ac.rs</t>
  </si>
  <si>
    <t>pd200108d@student.etf.bg.ac.rs</t>
  </si>
  <si>
    <t>jm200327d@student.etf.bg.ac.rs</t>
  </si>
  <si>
    <t>da200627d@student.etf.bg.ac.rs</t>
  </si>
  <si>
    <t>pd180418d@student.etf.bg.ac.rs</t>
  </si>
  <si>
    <t>sm190068d@student.etf.bg.ac.rs</t>
  </si>
  <si>
    <t>sa190066d@student.etf.bg.ac.rs</t>
  </si>
  <si>
    <t>ka190649d@student.etf.bg.ac.rs</t>
  </si>
  <si>
    <t>ba200459d@student.etf.bg.ac.rs</t>
  </si>
  <si>
    <t>sl200248d@student.etf.bg.ac.rs</t>
  </si>
  <si>
    <t>ml200253d@student.etf.bg.ac.rs</t>
  </si>
  <si>
    <t>km190385d@student.etf.bg.ac.rs</t>
  </si>
  <si>
    <t>mm170635d@student.etf.bg.ac.rs</t>
  </si>
  <si>
    <t>md190607d@student.etf.bg.ac.rs</t>
  </si>
  <si>
    <t>sa190236d@student.etf.bg.ac.rs</t>
  </si>
  <si>
    <t>aa170262d@student.etf.bg.ac.rs</t>
  </si>
  <si>
    <t>md190487d@student.etf.bg.ac.rs</t>
  </si>
  <si>
    <t>dm190731d@student.etf.bg.ac.rs</t>
  </si>
  <si>
    <t>T5 (10)</t>
  </si>
  <si>
    <t>T6 (20)</t>
  </si>
  <si>
    <t>T7 (15)</t>
  </si>
  <si>
    <t>T8 (20)</t>
  </si>
  <si>
    <t>T9 (10)</t>
  </si>
  <si>
    <t>T11 (10)</t>
  </si>
  <si>
    <t>T12 (20)</t>
  </si>
  <si>
    <t>rv170140d@student.etf.bg.ac.rs</t>
  </si>
  <si>
    <t>T2 (5)</t>
  </si>
  <si>
    <t>T4 (5)</t>
  </si>
  <si>
    <t>T5 (5)</t>
  </si>
  <si>
    <t>T8 (40)</t>
  </si>
  <si>
    <t>T9 (15)</t>
  </si>
  <si>
    <t>T10 (20)</t>
  </si>
  <si>
    <t>za200009d@student.etf.bg.ac.rs</t>
  </si>
  <si>
    <t>mi180719d@student.etf.bg.ac.rs</t>
  </si>
  <si>
    <t>jm190022d@student.etf.bg.ac.rs</t>
  </si>
  <si>
    <t>23.06.2023.</t>
  </si>
  <si>
    <t>12.07.2023.</t>
  </si>
  <si>
    <t>02.09.2023.</t>
  </si>
  <si>
    <t>25.09.2023.</t>
  </si>
  <si>
    <t>fm213373m@student.etf.bg.ac.rs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</si>
</sst>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2"/>
      <color rgb="FF000000"/>
      <name val="Calibri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9" fontId="7" fillId="0" borderId="0" applyFont="0" applyFill="0" applyBorder="0" applyAlignment="0" applyProtection="0"/>
    <xf numFmtId="0" fontId="9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0" xfId="1" applyNumberFormat="1" applyFont="1" applyAlignment="1">
      <alignment horizontal="center" vertical="center"/>
    </xf>
    <xf numFmtId="0" fontId="4" fillId="0" borderId="0" xfId="0" applyFont="1"/>
    <xf numFmtId="0" fontId="6" fillId="0" borderId="0" xfId="2" applyFont="1" applyAlignment="1">
      <alignment horizontal="center" vertical="center"/>
    </xf>
    <xf numFmtId="0" fontId="2" fillId="0" borderId="0" xfId="2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9" fontId="4" fillId="0" borderId="0" xfId="3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2" fillId="0" borderId="0" xfId="2" applyAlignment="1">
      <alignment horizontal="center"/>
    </xf>
    <xf numFmtId="1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5">
    <cellStyle name="Normal" xfId="0" builtinId="0"/>
    <cellStyle name="Normal 2" xfId="1" xr:uid="{A41BC942-EC82-4E5C-863F-342070D1DA3F}"/>
    <cellStyle name="Normal 3" xfId="2" xr:uid="{4FF657EE-ABBA-4E81-AD43-F97108F0E4D5}"/>
    <cellStyle name="Normal 4" xfId="4" xr:uid="{9E6F63D4-188F-4661-B0FF-D3533E3F2531}"/>
    <cellStyle name="Percent" xfId="3" builtinId="5"/>
  </cellStyles>
  <dxfs count="281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'K1'!$Q$1</c:f>
              <c:strCache>
                <c:ptCount val="1"/>
                <c:pt idx="0">
                  <c:v>Broj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'K1'!$P$2:$P$7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'K1'!$Q$2:$Q$7</c:f>
              <c:numCache>
                <c:formatCode>General</c:formatCode>
                <c:ptCount val="6"/>
                <c:pt idx="0">
                  <c:v>3</c:v>
                </c:pt>
                <c:pt idx="1">
                  <c:v>3</c:v>
                </c:pt>
                <c:pt idx="2">
                  <c:v>7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D7-4933-99B5-BF68775F1E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2208720"/>
        <c:axId val="59220552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'K1'!$R$1</c15:sqref>
                        </c15:formulaRef>
                      </c:ext>
                    </c:extLst>
                    <c:strCache>
                      <c:ptCount val="1"/>
                      <c:pt idx="0">
                        <c:v>Procenat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'K1'!$P$2:$P$7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5</c:v>
                      </c:pt>
                      <c:pt idx="1">
                        <c:v>6</c:v>
                      </c:pt>
                      <c:pt idx="2">
                        <c:v>7</c:v>
                      </c:pt>
                      <c:pt idx="3">
                        <c:v>8</c:v>
                      </c:pt>
                      <c:pt idx="4">
                        <c:v>9</c:v>
                      </c:pt>
                      <c:pt idx="5">
                        <c:v>10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'K1'!$R$2:$R$7</c15:sqref>
                        </c15:formulaRef>
                      </c:ext>
                    </c:extLst>
                    <c:numCache>
                      <c:formatCode>0%</c:formatCode>
                      <c:ptCount val="6"/>
                      <c:pt idx="0">
                        <c:v>0.14285714285714285</c:v>
                      </c:pt>
                      <c:pt idx="1">
                        <c:v>0.14285714285714285</c:v>
                      </c:pt>
                      <c:pt idx="2">
                        <c:v>0.33333333333333331</c:v>
                      </c:pt>
                      <c:pt idx="3">
                        <c:v>9.5238095238095233E-2</c:v>
                      </c:pt>
                      <c:pt idx="4">
                        <c:v>0.14285714285714285</c:v>
                      </c:pt>
                      <c:pt idx="5">
                        <c:v>0.14285714285714285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5656-4CBB-ACD3-ABC168FE697D}"/>
                  </c:ext>
                </c:extLst>
              </c15:ser>
            </c15:filteredBarSeries>
          </c:ext>
        </c:extLst>
      </c:barChart>
      <c:catAx>
        <c:axId val="592208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205520"/>
        <c:crosses val="autoZero"/>
        <c:auto val="1"/>
        <c:lblAlgn val="ctr"/>
        <c:lblOffset val="100"/>
        <c:noMultiLvlLbl val="0"/>
      </c:catAx>
      <c:valAx>
        <c:axId val="59220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208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'L2'!$Q$2:$Q$7</c:f>
              <c:strCach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'L2'!$Q$2:$Q$7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'L2'!$R$2:$R$7</c:f>
              <c:numCache>
                <c:formatCode>General</c:formatCode>
                <c:ptCount val="6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4C-442A-827D-4AE658E2CE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9556048"/>
        <c:axId val="639553488"/>
      </c:barChart>
      <c:catAx>
        <c:axId val="639556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9553488"/>
        <c:crosses val="autoZero"/>
        <c:auto val="1"/>
        <c:lblAlgn val="ctr"/>
        <c:lblOffset val="100"/>
        <c:noMultiLvlLbl val="0"/>
      </c:catAx>
      <c:valAx>
        <c:axId val="63955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9556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'K2'!$Q$1</c:f>
              <c:strCache>
                <c:ptCount val="1"/>
                <c:pt idx="0">
                  <c:v>Broj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'K2'!$P$2:$P$7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'K2'!$Q$2:$Q$7</c:f>
              <c:numCache>
                <c:formatCode>General</c:formatCode>
                <c:ptCount val="6"/>
                <c:pt idx="0">
                  <c:v>10</c:v>
                </c:pt>
                <c:pt idx="1">
                  <c:v>3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38-437D-9451-F584B18EB2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2208720"/>
        <c:axId val="59220552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'K2'!$R$1</c15:sqref>
                        </c15:formulaRef>
                      </c:ext>
                    </c:extLst>
                    <c:strCache>
                      <c:ptCount val="1"/>
                      <c:pt idx="0">
                        <c:v>Procenatt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'K2'!$P$2:$P$7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5</c:v>
                      </c:pt>
                      <c:pt idx="1">
                        <c:v>6</c:v>
                      </c:pt>
                      <c:pt idx="2">
                        <c:v>7</c:v>
                      </c:pt>
                      <c:pt idx="3">
                        <c:v>8</c:v>
                      </c:pt>
                      <c:pt idx="4">
                        <c:v>9</c:v>
                      </c:pt>
                      <c:pt idx="5">
                        <c:v>10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'K2'!$R$2:$R$7</c15:sqref>
                        </c15:formulaRef>
                      </c:ext>
                    </c:extLst>
                    <c:numCache>
                      <c:formatCode>0%</c:formatCode>
                      <c:ptCount val="6"/>
                      <c:pt idx="0">
                        <c:v>0.625</c:v>
                      </c:pt>
                      <c:pt idx="1">
                        <c:v>0.1875</c:v>
                      </c:pt>
                      <c:pt idx="2">
                        <c:v>0</c:v>
                      </c:pt>
                      <c:pt idx="3">
                        <c:v>0.1875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8090-4D87-9A9C-620997146218}"/>
                  </c:ext>
                </c:extLst>
              </c15:ser>
            </c15:filteredBarSeries>
          </c:ext>
        </c:extLst>
      </c:barChart>
      <c:catAx>
        <c:axId val="592208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205520"/>
        <c:crosses val="autoZero"/>
        <c:auto val="1"/>
        <c:lblAlgn val="ctr"/>
        <c:lblOffset val="100"/>
        <c:noMultiLvlLbl val="0"/>
      </c:catAx>
      <c:valAx>
        <c:axId val="59220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208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'L4'!$P$2:$P$7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'L4'!$Q$2:$Q$7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68-4065-8FE0-3C47DFDB31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9560528"/>
        <c:axId val="639561168"/>
      </c:barChart>
      <c:catAx>
        <c:axId val="639560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9561168"/>
        <c:crosses val="autoZero"/>
        <c:auto val="1"/>
        <c:lblAlgn val="ctr"/>
        <c:lblOffset val="100"/>
        <c:noMultiLvlLbl val="0"/>
      </c:catAx>
      <c:valAx>
        <c:axId val="639561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9560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2692038495188102E-2"/>
          <c:y val="0.19486111111111112"/>
          <c:w val="0.90286351706036749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Jun!$S$5</c:f>
              <c:strCache>
                <c:ptCount val="1"/>
                <c:pt idx="0">
                  <c:v>Broj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Jun!$R$6:$R$11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Jun!$S$6:$S$11</c:f>
              <c:numCache>
                <c:formatCode>General</c:formatCode>
                <c:ptCount val="6"/>
                <c:pt idx="0">
                  <c:v>9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6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49-427D-AD23-E1714A0E24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0783736"/>
        <c:axId val="480784056"/>
      </c:barChart>
      <c:catAx>
        <c:axId val="480783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4056"/>
        <c:crosses val="autoZero"/>
        <c:auto val="1"/>
        <c:lblAlgn val="ctr"/>
        <c:lblOffset val="100"/>
        <c:noMultiLvlLbl val="0"/>
      </c:catAx>
      <c:valAx>
        <c:axId val="480784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3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2692038495188102E-2"/>
          <c:y val="0.19486111111111112"/>
          <c:w val="0.90286351706036749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Jul!$S$5</c:f>
              <c:strCache>
                <c:ptCount val="1"/>
                <c:pt idx="0">
                  <c:v>Broj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Jul!$R$6:$R$11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Jul!$S$6:$S$11</c:f>
              <c:numCache>
                <c:formatCode>General</c:formatCode>
                <c:ptCount val="6"/>
                <c:pt idx="0">
                  <c:v>3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1E-467E-95F0-1A52CBA57D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0783736"/>
        <c:axId val="480784056"/>
      </c:barChart>
      <c:catAx>
        <c:axId val="480783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4056"/>
        <c:crosses val="autoZero"/>
        <c:auto val="1"/>
        <c:lblAlgn val="ctr"/>
        <c:lblOffset val="100"/>
        <c:noMultiLvlLbl val="0"/>
      </c:catAx>
      <c:valAx>
        <c:axId val="480784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3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2692038495188102E-2"/>
          <c:y val="0.19486111111111112"/>
          <c:w val="0.90286351706036749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Avgust!$T$5</c:f>
              <c:strCache>
                <c:ptCount val="1"/>
                <c:pt idx="0">
                  <c:v>Broj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Avgust!$S$6:$S$11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Avgust!$T$6:$T$11</c:f>
              <c:numCache>
                <c:formatCode>General</c:formatCode>
                <c:ptCount val="6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E3-46C5-AB19-C81776586E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0783736"/>
        <c:axId val="480784056"/>
      </c:barChart>
      <c:catAx>
        <c:axId val="480783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4056"/>
        <c:crosses val="autoZero"/>
        <c:auto val="1"/>
        <c:lblAlgn val="ctr"/>
        <c:lblOffset val="100"/>
        <c:noMultiLvlLbl val="0"/>
      </c:catAx>
      <c:valAx>
        <c:axId val="480784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3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2692038495188102E-2"/>
          <c:y val="0.19486111111111112"/>
          <c:w val="0.90286351706036749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Septembar!$T$5</c:f>
              <c:strCache>
                <c:ptCount val="1"/>
                <c:pt idx="0">
                  <c:v>Broj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Septembar!$S$6:$S$11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Septembar!$T$6:$T$11</c:f>
              <c:numCache>
                <c:formatCode>General</c:formatCode>
                <c:ptCount val="6"/>
                <c:pt idx="0">
                  <c:v>1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51-4FA1-9993-B3D04EDD5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0783736"/>
        <c:axId val="480784056"/>
      </c:barChart>
      <c:catAx>
        <c:axId val="480783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4056"/>
        <c:crosses val="autoZero"/>
        <c:auto val="1"/>
        <c:lblAlgn val="ctr"/>
        <c:lblOffset val="100"/>
        <c:noMultiLvlLbl val="0"/>
      </c:catAx>
      <c:valAx>
        <c:axId val="480784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3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2692038495188102E-2"/>
          <c:y val="0.19486111111111112"/>
          <c:w val="0.90286351706036749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Oktobar!$T$5</c:f>
              <c:strCache>
                <c:ptCount val="1"/>
                <c:pt idx="0">
                  <c:v>Broj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Oktobar!$S$6:$S$11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Oktobar!$T$6:$T$11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D7-4370-B570-13E0639C96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0783736"/>
        <c:axId val="480784056"/>
      </c:barChart>
      <c:catAx>
        <c:axId val="480783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4056"/>
        <c:crosses val="autoZero"/>
        <c:auto val="1"/>
        <c:lblAlgn val="ctr"/>
        <c:lblOffset val="100"/>
        <c:noMultiLvlLbl val="0"/>
      </c:catAx>
      <c:valAx>
        <c:axId val="480784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3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Ocene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2692038495188102E-2"/>
          <c:y val="0.19486111111111112"/>
          <c:w val="0.90286351706036749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Februar!$T$5</c:f>
              <c:strCache>
                <c:ptCount val="1"/>
                <c:pt idx="0">
                  <c:v>Broj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Februar!$S$6:$S$11</c:f>
              <c:numCache>
                <c:formatCode>General</c:formatCode>
                <c:ptCount val="6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</c:numCache>
            </c:numRef>
          </c:cat>
          <c:val>
            <c:numRef>
              <c:f>Februar!$T$6:$T$11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77-4472-8298-8E5015313E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0783736"/>
        <c:axId val="480784056"/>
      </c:barChart>
      <c:catAx>
        <c:axId val="480783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4056"/>
        <c:crosses val="autoZero"/>
        <c:auto val="1"/>
        <c:lblAlgn val="ctr"/>
        <c:lblOffset val="100"/>
        <c:noMultiLvlLbl val="0"/>
      </c:catAx>
      <c:valAx>
        <c:axId val="480784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783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8</xdr:row>
      <xdr:rowOff>102870</xdr:rowOff>
    </xdr:from>
    <xdr:to>
      <xdr:col>21</xdr:col>
      <xdr:colOff>464820</xdr:colOff>
      <xdr:row>23</xdr:row>
      <xdr:rowOff>102870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5FA7C6-26F2-4F6F-9B9E-888FD417B2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404084</xdr:colOff>
      <xdr:row>7</xdr:row>
      <xdr:rowOff>27005</xdr:rowOff>
    </xdr:from>
    <xdr:to>
      <xdr:col>23</xdr:col>
      <xdr:colOff>584611</xdr:colOff>
      <xdr:row>20</xdr:row>
      <xdr:rowOff>2240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F1E3F6-52BE-46BC-916E-4CA455A6CE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8</xdr:row>
      <xdr:rowOff>102870</xdr:rowOff>
    </xdr:from>
    <xdr:to>
      <xdr:col>21</xdr:col>
      <xdr:colOff>464820</xdr:colOff>
      <xdr:row>23</xdr:row>
      <xdr:rowOff>102870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F766A2B-1EC0-45F0-9651-D356B9B28B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15</xdr:row>
      <xdr:rowOff>186690</xdr:rowOff>
    </xdr:from>
    <xdr:to>
      <xdr:col>13</xdr:col>
      <xdr:colOff>161925</xdr:colOff>
      <xdr:row>29</xdr:row>
      <xdr:rowOff>158115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5B682BD-FCA5-4302-B8B3-01FB50AEB5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15240</xdr:colOff>
      <xdr:row>30</xdr:row>
      <xdr:rowOff>156210</xdr:rowOff>
    </xdr:from>
    <xdr:to>
      <xdr:col>14</xdr:col>
      <xdr:colOff>274320</xdr:colOff>
      <xdr:row>45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E7BA80C-3C25-4E3A-B6C4-359D89497C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312420</xdr:colOff>
      <xdr:row>18</xdr:row>
      <xdr:rowOff>19050</xdr:rowOff>
    </xdr:from>
    <xdr:to>
      <xdr:col>26</xdr:col>
      <xdr:colOff>7620</xdr:colOff>
      <xdr:row>31</xdr:row>
      <xdr:rowOff>186690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DEDDBF-13D5-4AE7-9B90-519A5D0595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18</xdr:row>
      <xdr:rowOff>19050</xdr:rowOff>
    </xdr:from>
    <xdr:to>
      <xdr:col>27</xdr:col>
      <xdr:colOff>7620</xdr:colOff>
      <xdr:row>31</xdr:row>
      <xdr:rowOff>186690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DEB1EFE-177F-4530-89AF-30C1287B7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18</xdr:row>
      <xdr:rowOff>19050</xdr:rowOff>
    </xdr:from>
    <xdr:to>
      <xdr:col>27</xdr:col>
      <xdr:colOff>7620</xdr:colOff>
      <xdr:row>31</xdr:row>
      <xdr:rowOff>186690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7C5C81F-732D-4189-B2A0-660D0CA970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18</xdr:row>
      <xdr:rowOff>19050</xdr:rowOff>
    </xdr:from>
    <xdr:to>
      <xdr:col>27</xdr:col>
      <xdr:colOff>7620</xdr:colOff>
      <xdr:row>31</xdr:row>
      <xdr:rowOff>186690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96DF35C-4D95-4472-90D6-7940F6A9A3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18</xdr:row>
      <xdr:rowOff>19050</xdr:rowOff>
    </xdr:from>
    <xdr:to>
      <xdr:col>27</xdr:col>
      <xdr:colOff>7620</xdr:colOff>
      <xdr:row>31</xdr:row>
      <xdr:rowOff>186690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C3091A7-B902-42FD-A8D6-BC79DC3BB2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941C407-3AD9-4FD0-A119-6418D4B7F0F2}" name="spisakStudenata" displayName="spisakStudenata" ref="A1:D32" totalsRowShown="0" headerRowDxfId="280" dataDxfId="279">
  <autoFilter ref="A1:D32" xr:uid="{71F30DFA-7217-47E5-8AF6-50386CCE308B}"/>
  <tableColumns count="4">
    <tableColumn id="1" xr3:uid="{275FCB3E-F7C8-4598-BB76-68DC0D6D922F}" name="Indeks" dataDxfId="278" dataCellStyle="Normal 2"/>
    <tableColumn id="2" xr3:uid="{1A50F23D-89A4-4518-B598-1F0D24F25060}" name="Prezime i ime (ćirilica)" dataDxfId="277" dataCellStyle="Normal 2"/>
    <tableColumn id="3" xr3:uid="{41F017E6-A5C5-480E-B8A7-E19EB4E052C9}" name="Prezime i ime (latinica)" dataDxfId="276"/>
    <tableColumn id="4" xr3:uid="{292B14BB-B981-42A2-BD75-5CF20953E9DD}" name="Odsek" dataDxfId="275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07ADB92-EE9D-44FD-9654-8D637823CD3F}" name="prviKolokvijum" displayName="prviKolokvijum" ref="A1:N22" headerRowDxfId="274" dataDxfId="273" dataCellStyle="Normal 3">
  <autoFilter ref="A1:N22" xr:uid="{F3500475-8136-4754-84F2-91FC0EA801C6}"/>
  <sortState xmlns:xlrd2="http://schemas.microsoft.com/office/spreadsheetml/2017/richdata2" ref="A2:N22">
    <sortCondition ref="B1:B22"/>
  </sortState>
  <tableColumns count="14">
    <tableColumn id="1" xr3:uid="{B5F13F3A-0962-4806-A269-70696A5EAB24}" name="Email" totalsRowLabel="Total" dataDxfId="272" totalsRowDxfId="271"/>
    <tableColumn id="14" xr3:uid="{E246C88C-005A-403C-8714-5A0F1A97489A}" name="Indeks" dataDxfId="270" totalsRowDxfId="269"/>
    <tableColumn id="2" xr3:uid="{33A86DE0-CAEF-4516-89D4-94FDF52BF52E}" name="Prezime i ime" dataDxfId="268" totalsRowDxfId="267" dataCellStyle="Normal 3">
      <calculatedColumnFormula>VLOOKUP(prviKolokvijum[[#This Row],[Indeks]],spisakStudenata[],3,FALSE)</calculatedColumnFormula>
    </tableColumn>
    <tableColumn id="3" xr3:uid="{0103CF28-BD9C-4AE0-A176-A95698785778}" name="P1" dataDxfId="266" totalsRowDxfId="265" dataCellStyle="Normal 3"/>
    <tableColumn id="4" xr3:uid="{35E72762-85E2-4F27-BF9B-7AC92A42DC8D}" name="P2" dataDxfId="264" totalsRowDxfId="263" dataCellStyle="Normal 3"/>
    <tableColumn id="5" xr3:uid="{F369CA2F-B53D-4B1D-BA53-1D579EB22016}" name="P3" dataDxfId="262" totalsRowDxfId="261" dataCellStyle="Normal 3"/>
    <tableColumn id="6" xr3:uid="{2C4D600E-DDCB-45C6-993C-905466B48DBE}" name="P4" dataDxfId="260" totalsRowDxfId="259" dataCellStyle="Normal 3"/>
    <tableColumn id="7" xr3:uid="{52DE8836-E903-49A1-BF0D-CD433FA9D6C1}" name="P5" dataDxfId="258" totalsRowDxfId="257" dataCellStyle="Normal 3"/>
    <tableColumn id="8" xr3:uid="{9338DC18-0A81-4C82-B8C6-943CF9504475}" name="P6" dataDxfId="256" totalsRowDxfId="255" dataCellStyle="Normal 3"/>
    <tableColumn id="9" xr3:uid="{57925A97-114D-4FB2-AF5F-E8C93B871955}" name="P7" dataDxfId="254" totalsRowDxfId="253" dataCellStyle="Normal 3"/>
    <tableColumn id="10" xr3:uid="{9590ACAC-4AB3-44D5-8425-D71276D6244D}" name="P8" dataDxfId="252" totalsRowDxfId="251" dataCellStyle="Normal 3"/>
    <tableColumn id="11" xr3:uid="{224455DB-25B0-42A3-A3A3-F24BF10F89A9}" name="P9" dataDxfId="250" totalsRowDxfId="249" dataCellStyle="Normal 3"/>
    <tableColumn id="12" xr3:uid="{A034F541-D753-4AFE-8B93-13CA19D10869}" name="P10" dataDxfId="248" totalsRowDxfId="247" dataCellStyle="Normal 3"/>
    <tableColumn id="13" xr3:uid="{72E2E146-6303-4E6A-97C6-C059AE790FA9}" name="K1" totalsRowFunction="sum" dataDxfId="246" totalsRowDxfId="245">
      <calculatedColumnFormula>MAX(SUM(prviKolokvijum[[#This Row],[P1]]:prviKolokvijum[[#This Row],[P10]]),SUM(prviKolokvijum[[#This Row],[P1]]:prviKolokvijum[[#This Row],[P9]]) * 10/9)</calculatedColumnFormula>
    </tableColumn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E0609B6-A554-4025-B0B8-21F3A4763809}" name="Table3" displayName="Table3" ref="P1:R7" totalsRowShown="0" headerRowDxfId="244" dataDxfId="243">
  <autoFilter ref="P1:R7" xr:uid="{3B42474A-1E39-4DEB-900A-70CED1274F27}"/>
  <tableColumns count="3">
    <tableColumn id="1" xr3:uid="{1E60D7C0-48C4-45DC-9CEC-649D550261CF}" name="Ocena" dataDxfId="242"/>
    <tableColumn id="2" xr3:uid="{12E1191F-9D71-4ED3-982B-24399E651F09}" name="Broj" dataDxfId="241">
      <calculatedColumnFormula>COUNTIFS(prviKolokvijum[K1],"&lt;="&amp;P2,prviKolokvijum[K1],"&gt;"&amp;P1)</calculatedColumnFormula>
    </tableColumn>
    <tableColumn id="3" xr3:uid="{E9B14D62-05B0-40EB-A2F7-8593A103EB53}" name="Procenat" dataDxfId="240" dataCellStyle="Percent">
      <calculatedColumnFormula>Table3[[#This Row],[Broj]]/SUM(Table3[Broj])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0D1B421-CC61-443E-A692-E8047E0BA583}" name="drugaLaboratorijskaVezba" displayName="drugaLaboratorijskaVezba" ref="A1:O11" totalsRowShown="0" headerRowDxfId="239" dataDxfId="238">
  <autoFilter ref="A1:O11" xr:uid="{20D1B421-CC61-443E-A692-E8047E0BA583}"/>
  <sortState xmlns:xlrd2="http://schemas.microsoft.com/office/spreadsheetml/2017/richdata2" ref="A2:O11">
    <sortCondition ref="A1:A11"/>
  </sortState>
  <tableColumns count="15">
    <tableColumn id="1" xr3:uid="{BAC0C540-0B0E-463F-B970-522ED019CC7E}" name="Indeks" dataDxfId="237"/>
    <tableColumn id="12" xr3:uid="{9CB7D27F-07C5-4CDA-A328-7FD67FF03F11}" name="Ime i prezime" dataDxfId="236">
      <calculatedColumnFormula>VLOOKUP(drugaLaboratorijskaVezba[[#This Row],[Indeks]],spisakStudenata[],3,FALSE)</calculatedColumnFormula>
    </tableColumn>
    <tableColumn id="2" xr3:uid="{CA56FFBD-900D-427D-8F17-7AC7478A2178}" name="T1 (10)" dataDxfId="235"/>
    <tableColumn id="3" xr3:uid="{5D01CDA6-485D-4978-A225-013D885775FE}" name="T2 (10)" dataDxfId="234"/>
    <tableColumn id="4" xr3:uid="{3FE4CDD3-8B56-488B-A5AA-280E022F4021}" name="T3 (5)" dataDxfId="233"/>
    <tableColumn id="5" xr3:uid="{BDACF70E-DAAC-47A9-882D-BEF3B4AC0ECD}" name="T4 (10)" dataDxfId="232"/>
    <tableColumn id="6" xr3:uid="{18D2DB5D-A6BD-41F3-A9D5-0396034FD965}" name="T5 (10)" dataDxfId="231"/>
    <tableColumn id="7" xr3:uid="{8925C4C7-8A93-4650-B32E-DBBEE8AB5A60}" name="T6 (20)" dataDxfId="230"/>
    <tableColumn id="8" xr3:uid="{FFC3BA23-C43B-4184-BB1B-5643CADA6214}" name="T7 (15)" dataDxfId="229"/>
    <tableColumn id="9" xr3:uid="{1F7FD181-F0FC-4113-8723-80853B3AA49B}" name="T8 (20)" dataDxfId="228"/>
    <tableColumn id="10" xr3:uid="{95F84252-086D-47D2-90A1-0EB35D70B566}" name="T9 (10)" dataDxfId="227"/>
    <tableColumn id="13" xr3:uid="{D0849B59-3CDB-41B6-ADF7-98DCB099479A}" name="T10 (10)" dataDxfId="226"/>
    <tableColumn id="14" xr3:uid="{8F653548-75FB-41B4-98F7-CFAEB523A4BA}" name="T11 (10)" dataDxfId="225"/>
    <tableColumn id="15" xr3:uid="{2C4C5A95-FCA7-4D9D-835A-D445E6F719FB}" name="T12 (20)" dataDxfId="224"/>
    <tableColumn id="11" xr3:uid="{AC2ECD1D-1087-4B6A-91AD-EF3EA78BB60E}" name="L2" dataDxfId="223">
      <calculatedColumnFormula>MIN(SUM(drugaLaboratorijskaVezba[[#This Row],[T1 (10)]]:drugaLaboratorijskaVezba[[#This Row],[T11 (10)]]),100)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AB0864E-116A-41E0-9D59-CD0838C92521}" name="Table12" displayName="Table12" ref="Q1:S7" totalsRowShown="0" headerRowDxfId="222" dataDxfId="221">
  <autoFilter ref="Q1:S7" xr:uid="{9AB0864E-116A-41E0-9D59-CD0838C92521}"/>
  <tableColumns count="3">
    <tableColumn id="1" xr3:uid="{F1308D02-6537-4D66-B994-D52C27902966}" name="Ocena" dataDxfId="220"/>
    <tableColumn id="2" xr3:uid="{74B8E901-EADC-4A8C-949A-D9AEE3689149}" name="Broj" dataDxfId="219">
      <calculatedColumnFormula>COUNTIF(drugaLaboratorijskaVezba[L2],"&lt;=" &amp; (Table12[[#This Row],[Ocena]]*10))</calculatedColumnFormula>
    </tableColumn>
    <tableColumn id="3" xr3:uid="{FED13FF6-6B2E-42D8-89D7-D183496501A0}" name="Procenat" dataDxfId="218" dataCellStyle="Percent">
      <calculatedColumnFormula>Table12[[#This Row],[Broj]]/SUM(Table12[Broj])</calculatedColumnFormula>
    </tableColumn>
  </tableColumns>
  <tableStyleInfo name="TableStyleLight10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DB22850-0D12-4006-AC24-18AAB6599669}" name="drugiKolokvijum" displayName="drugiKolokvijum" ref="A1:N17" totalsRowShown="0" headerRowDxfId="217" dataDxfId="216" dataCellStyle="Normal 3">
  <autoFilter ref="A1:N17" xr:uid="{F3500475-8136-4754-84F2-91FC0EA801C6}"/>
  <sortState xmlns:xlrd2="http://schemas.microsoft.com/office/spreadsheetml/2017/richdata2" ref="A2:N17">
    <sortCondition ref="B1:B17"/>
  </sortState>
  <tableColumns count="14">
    <tableColumn id="1" xr3:uid="{67BBFFDB-3F44-45D0-92DC-2104B29FC01E}" name="Email" dataDxfId="215"/>
    <tableColumn id="14" xr3:uid="{B7ADAA8E-DEC9-4323-84B5-75C3E6C02A08}" name="Indeks" dataDxfId="214">
      <calculatedColumnFormula>"20"&amp;MID(drugiKolokvijum[[#This Row],[Email]],3,2)&amp;"/"&amp;MID(drugiKolokvijum[[#This Row],[Email]],5,4)</calculatedColumnFormula>
    </tableColumn>
    <tableColumn id="2" xr3:uid="{6F4AE2A4-BDAB-4C74-A712-06B149F88407}" name="Prezime i ime" dataDxfId="213" dataCellStyle="Normal 3">
      <calculatedColumnFormula>VLOOKUP(drugiKolokvijum[[#This Row],[Indeks]],spisakStudenata[],3,FALSE)</calculatedColumnFormula>
    </tableColumn>
    <tableColumn id="3" xr3:uid="{C6B0F9B8-697C-4740-8442-A5C40DF44582}" name="P1" dataDxfId="212" dataCellStyle="Normal 3"/>
    <tableColumn id="4" xr3:uid="{C3400956-EBD8-4BEE-BF11-5B2BDAB60383}" name="P2" dataDxfId="211" dataCellStyle="Normal 3"/>
    <tableColumn id="5" xr3:uid="{4D22BFE9-2DA2-4152-B4EE-803EA5869FD1}" name="P3" dataDxfId="210" dataCellStyle="Normal 3"/>
    <tableColumn id="6" xr3:uid="{0438385D-48A5-43D6-AE36-49C45376FD40}" name="P4" dataDxfId="209" dataCellStyle="Normal 3"/>
    <tableColumn id="7" xr3:uid="{20C35773-29EC-4310-A102-35F7793BE32C}" name="P5" dataDxfId="208" dataCellStyle="Normal 3"/>
    <tableColumn id="8" xr3:uid="{0CA0DA57-A01F-427F-8A54-476B19E846BD}" name="P6" dataDxfId="207" dataCellStyle="Normal 3"/>
    <tableColumn id="9" xr3:uid="{5D90DAA6-8A3A-45E7-BB03-4AF85CFD0BEF}" name="P7" dataDxfId="206" dataCellStyle="Normal 3"/>
    <tableColumn id="10" xr3:uid="{93F1649C-1CA9-4736-90E1-E055772D6EEB}" name="P8" dataDxfId="205" dataCellStyle="Normal 3"/>
    <tableColumn id="11" xr3:uid="{CD0023D2-42DE-414A-8674-DA92090EAD43}" name="P9" dataDxfId="204" dataCellStyle="Normal 3"/>
    <tableColumn id="12" xr3:uid="{CA7F900F-F876-4D7C-9B28-B28855A25011}" name="P10" dataDxfId="203" dataCellStyle="Normal 3"/>
    <tableColumn id="13" xr3:uid="{A908B3B1-F27A-483A-85EF-2EA87F52B04C}" name="Ukupno" dataDxfId="202">
      <calculatedColumnFormula>SUM(drugiKolokvijum[[#This Row],[P1]]:drugiKolokvijum[[#This Row],[P10]])</calculatedColumnFormula>
    </tableColumn>
  </tableColumns>
  <tableStyleInfo name="TableStyleMedium6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7170D55-90E4-4AA3-9A56-926927DA9812}" name="Table36" displayName="Table36" ref="P1:R7" totalsRowShown="0" headerRowDxfId="201" dataDxfId="200">
  <autoFilter ref="P1:R7" xr:uid="{3B42474A-1E39-4DEB-900A-70CED1274F27}"/>
  <tableColumns count="3">
    <tableColumn id="1" xr3:uid="{6E14C954-9171-4458-9AF6-DD1D10F92AE1}" name="Ocena" dataDxfId="199"/>
    <tableColumn id="2" xr3:uid="{2ADA1F05-971A-44FC-B2F5-DCEA1EB94A26}" name="Broj" dataDxfId="198">
      <calculatedColumnFormula>COUNTIFS(drugiKolokvijum[Ukupno],"&lt;="&amp;P2,drugiKolokvijum[Ukupno],"&gt;"&amp;P1)</calculatedColumnFormula>
    </tableColumn>
    <tableColumn id="3" xr3:uid="{B3CF507B-1914-4FE5-942A-265538068E69}" name="Procenatt" dataDxfId="197" dataCellStyle="Percent">
      <calculatedColumnFormula>Table36[[#This Row],[Broj]]/SUM(Table36[Broj])</calculatedColumnFormula>
    </tableColumn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2570E0A2-2108-4F46-8DF4-44B31444DBE5}" name="cetvrtaLaboratorijskaVezba" displayName="cetvrtaLaboratorijskaVezba" ref="A1:N3" totalsRowShown="0" headerRowDxfId="196" dataDxfId="195">
  <autoFilter ref="A1:N3" xr:uid="{2570E0A2-2108-4F46-8DF4-44B31444DBE5}"/>
  <tableColumns count="14">
    <tableColumn id="1" xr3:uid="{E095DAC1-30F8-40A6-B7D4-A6F880CA9109}" name="Indeks" dataDxfId="194"/>
    <tableColumn id="14" xr3:uid="{77C179B5-FBAF-4526-BA5E-3C22813B8C4F}" name="Ime i prezime" dataDxfId="193">
      <calculatedColumnFormula>VLOOKUP(cetvrtaLaboratorijskaVezba[[#This Row],[Indeks]],spisakStudenata[],3,FALSE)</calculatedColumnFormula>
    </tableColumn>
    <tableColumn id="2" xr3:uid="{D67E407C-4D2F-4D27-BD70-68A64E5D6807}" name="T1 (10)" dataDxfId="192"/>
    <tableColumn id="3" xr3:uid="{3FAD1444-68B1-40F6-A315-DD7AB81D3FA8}" name="T2 (5)" dataDxfId="191"/>
    <tableColumn id="4" xr3:uid="{CB7FD7D9-AA10-46FF-8924-CC048FB8F189}" name="T3 (5)" dataDxfId="190"/>
    <tableColumn id="5" xr3:uid="{98E3C5E0-F763-44D4-B703-3A7259E94643}" name="T4 (5)" dataDxfId="189"/>
    <tableColumn id="6" xr3:uid="{6BC76E9A-B7D1-4AE9-87B1-E354CDE5D6CB}" name="T5 (5)" dataDxfId="188"/>
    <tableColumn id="7" xr3:uid="{A13CC4F9-7497-4022-9E33-269F5B9EB05E}" name="T6 (20)" dataDxfId="187"/>
    <tableColumn id="8" xr3:uid="{8F5551CF-900D-4F4A-89E0-BFC082EEC722}" name="T7 (15)" dataDxfId="186"/>
    <tableColumn id="9" xr3:uid="{767DA7B4-8B50-43BE-BB00-C2CC53474553}" name="T8 (40)" dataDxfId="185"/>
    <tableColumn id="10" xr3:uid="{8EB8B9C5-3503-458E-A658-BCD1D388963B}" name="T9 (15)" dataDxfId="184"/>
    <tableColumn id="11" xr3:uid="{A6C605E3-B4CB-47A1-B33C-562BD3F3F17D}" name="T10 (20)" dataDxfId="183"/>
    <tableColumn id="12" xr3:uid="{4058AF74-3AD0-4F8D-B88E-637F8B6DA841}" name="T11 (10)" dataDxfId="182"/>
    <tableColumn id="13" xr3:uid="{3B9D95F4-13B2-4E31-B22B-95FC102CFD89}" name="L4" dataDxfId="181">
      <calculatedColumnFormula>MIN(100,SUM(cetvrtaLaboratorijskaVezba[[#This Row],[T1 (10)]]:cetvrtaLaboratorijskaVezba[[#This Row],[T11 (10)]]))</calculatedColumnFormula>
    </tableColumn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13E5380-BFD2-4B19-9352-5C017A42C19D}" name="Table1214" displayName="Table1214" ref="P1:R7" totalsRowShown="0" headerRowDxfId="180" dataDxfId="179">
  <autoFilter ref="P1:R7" xr:uid="{A13E5380-BFD2-4B19-9352-5C017A42C19D}"/>
  <tableColumns count="3">
    <tableColumn id="1" xr3:uid="{A14B6233-E407-4948-988A-3DF86AAC7AE0}" name="Ocena" dataDxfId="178"/>
    <tableColumn id="2" xr3:uid="{FD4DE800-6B8E-40A8-9A7A-4EF8CBC70D0A}" name="Broj" dataDxfId="177">
      <calculatedColumnFormula>COUNTIF(drugaLaboratorijskaVezba[L2],"&lt;=" &amp; (Table1214[[#This Row],[Ocena]]*10))</calculatedColumnFormula>
    </tableColumn>
    <tableColumn id="3" xr3:uid="{CA6F1592-0F8E-48C9-8DDB-C6EC40704FB3}" name="Procenat" dataDxfId="176" dataCellStyle="Percent">
      <calculatedColumnFormula>Table1214[[#This Row],[Broj]]/SUM(Table1214[Broj])</calculatedColumnFormula>
    </tableColumn>
  </tableColumns>
  <tableStyleInfo name="TableStyleLight10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A0C6E57E-E45C-4BD0-9AE9-C5A6382F25FB}" name="dz" displayName="dz" ref="A1:E26" totalsRowShown="0" headerRowDxfId="175" dataDxfId="174">
  <autoFilter ref="A1:E26" xr:uid="{A0C6E57E-E45C-4BD0-9AE9-C5A6382F25FB}"/>
  <tableColumns count="5">
    <tableColumn id="1" xr3:uid="{932A67DD-7399-44D4-AA27-F3365B4FB889}" name="Indeks" dataDxfId="173"/>
    <tableColumn id="5" xr3:uid="{783E2CD9-442F-4784-BDE7-C98F8FA89561}" name="Ime i prezime" dataDxfId="172">
      <calculatedColumnFormula>VLOOKUP(dz[[#This Row],[Indeks]],spisakStudenata[],3,FALSE)</calculatedColumnFormula>
    </tableColumn>
    <tableColumn id="2" xr3:uid="{7FF89DF0-6E98-47E0-AB16-F21655DCAA63}" name="Rok" dataDxfId="171"/>
    <tableColumn id="3" xr3:uid="{40255EF7-2191-4050-8CE9-3253AFD8DB30}" name="DZ1" dataDxfId="170"/>
    <tableColumn id="4" xr3:uid="{9FA4A149-50D9-40C0-A8F8-B90D07A68777}" name="DZ2" dataDxfId="169"/>
  </tableColumns>
  <tableStyleInfo name="TableStyleMedium7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E7D524C6-CF1C-47B6-9BE8-EA2C767ACC24}" name="Table14" displayName="Table14" ref="G1:I7" totalsRowShown="0" headerRowDxfId="168" dataDxfId="167">
  <autoFilter ref="G1:I7" xr:uid="{E7D524C6-CF1C-47B6-9BE8-EA2C767ACC24}"/>
  <tableColumns count="3">
    <tableColumn id="1" xr3:uid="{3EB82A91-F69B-41BC-B2CA-7A726338425E}" name="Rok" dataDxfId="166"/>
    <tableColumn id="2" xr3:uid="{8BDDA2A9-53AB-4784-B1B6-449C568EB50C}" name="Broj" dataDxfId="165"/>
    <tableColumn id="3" xr3:uid="{8344C3D7-B9F5-4BB4-A596-DA96700B7031}" name="Datum" dataDxfId="164"/>
  </tableColumns>
  <tableStyleInfo name="TableStyleLight10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A80D145A-59FE-4CBF-83C8-7B33CB0408A4}" name="ispit" displayName="ispit" ref="A1:O46" totalsRowShown="0" headerRowDxfId="163" dataDxfId="162" headerRowCellStyle="Normal 3" dataCellStyle="Normal 3">
  <autoFilter ref="A1:O46" xr:uid="{A80D145A-59FE-4CBF-83C8-7B33CB0408A4}"/>
  <sortState xmlns:xlrd2="http://schemas.microsoft.com/office/spreadsheetml/2017/richdata2" ref="A2:O34">
    <sortCondition ref="B1:B34"/>
  </sortState>
  <tableColumns count="15">
    <tableColumn id="1" xr3:uid="{C063BCC7-E1AA-4F52-A799-9F5AE10BA66F}" name="Email" dataDxfId="161" dataCellStyle="Normal 3"/>
    <tableColumn id="2" xr3:uid="{B2F6AB1A-2D60-4D5C-8909-2D43DA2F8906}" name="Indeks" dataDxfId="160" dataCellStyle="Normal 3">
      <calculatedColumnFormula>"20"&amp;MID(ispit[[#This Row],[Email]],3,2)&amp;"/"&amp;MID(ispit[[#This Row],[Email]],5,4)</calculatedColumnFormula>
    </tableColumn>
    <tableColumn id="3" xr3:uid="{CB9E5B9B-8DDB-4883-AB16-61B3D0832033}" name="Ime i prezime" dataDxfId="159" dataCellStyle="Normal 3">
      <calculatedColumnFormula>VLOOKUP(ispit[[#This Row],[Indeks]],spisakStudenata[],3,FALSE)</calculatedColumnFormula>
    </tableColumn>
    <tableColumn id="4" xr3:uid="{E4F87B64-C0DA-4D6A-9A5D-F63BFFF18624}" name="Rok" dataDxfId="158" dataCellStyle="Normal 3"/>
    <tableColumn id="7" xr3:uid="{C9806613-7DE9-4A0A-9993-E68A6C6CDADE}" name="P1" dataDxfId="157" dataCellStyle="Normal 3"/>
    <tableColumn id="8" xr3:uid="{3CF8A1B9-A56B-4B1A-B12F-C832275B6343}" name="P2" dataDxfId="156" dataCellStyle="Normal 3"/>
    <tableColumn id="9" xr3:uid="{87BDF0C5-FBF3-4DAC-B6C1-E050D484807A}" name="P3" dataDxfId="155" dataCellStyle="Normal 3"/>
    <tableColumn id="10" xr3:uid="{74DA5497-6828-447A-88E6-91665D174AA0}" name="P4" dataDxfId="154" dataCellStyle="Normal 3"/>
    <tableColumn id="11" xr3:uid="{ACA4876D-6BF1-4B0A-8A5D-A03834EEC4A1}" name="P5" dataDxfId="153" dataCellStyle="Normal 3"/>
    <tableColumn id="12" xr3:uid="{91395E84-55AE-45AD-A275-8DFE4693F9F2}" name="P6" dataDxfId="152" dataCellStyle="Normal 3"/>
    <tableColumn id="13" xr3:uid="{D46E59E5-1EAD-4DC2-9827-913567A2AEAA}" name="P7" dataDxfId="151" dataCellStyle="Normal 3"/>
    <tableColumn id="14" xr3:uid="{49C7C00F-01EA-45A6-97FE-6344937C2A46}" name="P8" dataDxfId="150" dataCellStyle="Normal 3"/>
    <tableColumn id="15" xr3:uid="{43430FBD-241E-4658-8B96-4F701223291E}" name="P9" dataDxfId="149" dataCellStyle="Normal 3"/>
    <tableColumn id="16" xr3:uid="{E38FC53C-98D1-421B-BC8B-582AEB8219C8}" name="P10" dataDxfId="148" dataCellStyle="Normal 3"/>
    <tableColumn id="17" xr3:uid="{CA5F89E7-C532-477C-812D-53893CFC171C}" name="Ukupno" dataDxfId="147" dataCellStyle="Normal 3">
      <calculatedColumnFormula>SUM(ispit[[#This Row],[P1]]:ispit[[#This Row],[P10]])</calculatedColumnFormula>
    </tableColumn>
  </tableColumns>
  <tableStyleInfo name="TableStyleMedium7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56F3DD6-1DF5-48A6-A084-977318F855F2}" name="Table15" displayName="Table15" ref="R1:T6" totalsRowShown="0" headerRowDxfId="146" dataDxfId="145">
  <autoFilter ref="R1:T6" xr:uid="{756F3DD6-1DF5-48A6-A084-977318F855F2}"/>
  <tableColumns count="3">
    <tableColumn id="1" xr3:uid="{8C02E67F-5459-4E1C-A91D-DB03654CEC9D}" name="Rok" dataDxfId="144"/>
    <tableColumn id="2" xr3:uid="{210D101F-EFC4-491E-B1AA-D1BE9946EB10}" name="Broj" dataDxfId="143"/>
    <tableColumn id="3" xr3:uid="{6A30426B-D0EB-4BC9-9C99-EC9CC8664E58}" name="Datum" dataDxfId="142"/>
  </tableColumns>
  <tableStyleInfo name="TableStyleLight10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70F4A7D-40BE-4B84-BFC8-7A3EC2AD664A}" name="Table9" displayName="Table9" ref="A1:P28" totalsRowShown="0" headerRowDxfId="141" dataDxfId="140">
  <autoFilter ref="A1:P28" xr:uid="{C70F4A7D-40BE-4B84-BFC8-7A3EC2AD664A}"/>
  <sortState xmlns:xlrd2="http://schemas.microsoft.com/office/spreadsheetml/2017/richdata2" ref="A4:P28">
    <sortCondition ref="A1:A28"/>
  </sortState>
  <tableColumns count="16">
    <tableColumn id="1" xr3:uid="{79890957-EFA9-47B0-9832-F5E515F1E95C}" name="Indeks" dataDxfId="139"/>
    <tableColumn id="2" xr3:uid="{8B900E28-F149-4774-9EF2-8A2275026CFB}" name="Prezime i ime" dataDxfId="138">
      <calculatedColumnFormula>VLOOKUP(Table9[[#This Row],[Indeks]],spisakStudenata[[Indeks]:[Prezime i ime (latinica)]],3,FALSE)</calculatedColumnFormula>
    </tableColumn>
    <tableColumn id="3" xr3:uid="{12FEE907-4BA8-439F-9517-0D6903B20415}" name="K1" dataDxfId="137">
      <calculatedColumnFormula>IFERROR(10 * VLOOKUP(Table9[[#This Row],[Indeks]],prviKolokvijum[[Indeks]:[K1]],13,FALSE),0)</calculatedColumnFormula>
    </tableColumn>
    <tableColumn id="4" xr3:uid="{30725250-AD5B-41F4-88B4-C492308834E8}" name="K2" dataDxfId="136">
      <calculatedColumnFormula>IFERROR(VLOOKUP(Table9[[#This Row],[Indeks]],drugiKolokvijum[[Indeks]:[Ukupno]],13,FALSE),0)*10</calculatedColumnFormula>
    </tableColumn>
    <tableColumn id="5" xr3:uid="{251F594E-D9F5-4A7F-9AD2-1680ABFCA61A}" name="L2" dataDxfId="135">
      <calculatedColumnFormula>IFERROR(VLOOKUP(Table9[[#This Row],[Indeks]],drugaLaboratorijskaVezba[],14,FALSE),0)</calculatedColumnFormula>
    </tableColumn>
    <tableColumn id="6" xr3:uid="{FED2866F-0B9A-4818-9B07-3EA9D093B1FE}" name="L4" dataDxfId="134">
      <calculatedColumnFormula>IFERROR(VLOOKUP(Table9[[#This Row],[Indeks]],cetvrtaLaboratorijskaVezba[],14,FALSE),0)</calculatedColumnFormula>
    </tableColumn>
    <tableColumn id="7" xr3:uid="{92781D0D-71DE-4401-A94E-8CF13F99D175}" name="DZ1" dataDxfId="133">
      <calculatedColumnFormula>IFERROR(VLOOKUP(Table9[[#This Row],[Indeks]],dz[],4,FALSE),0)</calculatedColumnFormula>
    </tableColumn>
    <tableColumn id="8" xr3:uid="{224907E5-65D2-413D-822E-1E9038FD2852}" name="DZ2" dataDxfId="132">
      <calculatedColumnFormula>IFERROR(VLOOKUP(Table9[[#This Row],[Indeks]],dz[],5,FALSE),0)</calculatedColumnFormula>
    </tableColumn>
    <tableColumn id="9" xr3:uid="{55A60FBE-2247-458D-AFB8-15813FEE9BE5}" name="L" dataDxfId="131">
      <calculatedColumnFormula>(MAX(Table9[[#This Row],[L2]],Table9[[#This Row],[DZ1]])+MAX(Table9[[#This Row],[L4]],Table9[[#This Row],[DZ2]]))/2</calculatedColumnFormula>
    </tableColumn>
    <tableColumn id="10" xr3:uid="{AB8FD628-92D2-4C34-8548-715230997353}" name="D" dataDxfId="130">
      <calculatedColumnFormula>(Table9[[#This Row],[DZ1]]+Table9[[#This Row],[DZ2]])/2</calculatedColumnFormula>
    </tableColumn>
    <tableColumn id="11" xr3:uid="{D86103F8-8C1A-4E18-A84A-2D41724DB863}" name="K" dataDxfId="129">
      <calculatedColumnFormula array="1">MAX((Table9[[#This Row],[K1]]+Table9[[#This Row],[K2]])/2,IFERROR(INDEX(ispit[Ukupno], MATCH(Table9[[#This Row],[Indeks]]&amp;"1",ispit[Indeks]&amp;ispit[Rok],0)),0)*10)</calculatedColumnFormula>
    </tableColumn>
    <tableColumn id="12" xr3:uid="{8143E351-6486-44D6-9D5B-619604D6A56E}" name="I" dataDxfId="128">
      <calculatedColumnFormula array="1">IF(MAX(ROW(ispit[Indeks]) * (Table9[[#This Row],[Indeks]]=ispit[Indeks]) * ($S$1&gt;=ispit[Rok])) &gt; 0,10 * INDEX(ispit[Ukupno],SUMPRODUCT(MAX(ROW(ispit[Indeks]) * (Table9[[#This Row],[Indeks]]=ispit[Indeks]) * ($S$1&gt;=ispit[Rok])) - 1)),0)</calculatedColumnFormula>
    </tableColumn>
    <tableColumn id="13" xr3:uid="{0DD6AD90-4D04-4CC1-A70D-91A6B01C8536}" name="P" dataDxfId="127">
      <calculatedColumnFormula>IF(AND(Table9[[#This Row],[L]]&gt;=40,Table9[[#This Row],[I]]&gt;=40),0.2*Table9[[#This Row],[L]]+0.3*Table9[[#This Row],[D]]+0.2*Table9[[#This Row],[K]]+0.3*Table9[[#This Row],[I]],0)</calculatedColumnFormula>
    </tableColumn>
    <tableColumn id="14" xr3:uid="{67B3C749-FC52-43C9-BD46-A4F8482C9290}" name="Ocena" dataDxfId="126">
      <calculatedColumnFormula>IF(OR(Table9[[#This Row],[DZ rok]]=$S$1,Table9[[#This Row],[I rok]]=$S$1),MEDIAN(5,10,FLOOR((Table9[[#This Row],[P]] + 9.99)/10,1)),3)</calculatedColumnFormula>
    </tableColumn>
    <tableColumn id="16" xr3:uid="{325BD168-54F4-4FF0-8053-E69C28275961}" name="DZ rok" dataDxfId="125">
      <calculatedColumnFormula>IFERROR(VLOOKUP(Table9[[#This Row],[Indeks]],dz[],3,FALSE),"")</calculatedColumnFormula>
    </tableColumn>
    <tableColumn id="18" xr3:uid="{0CFD1C74-CF9D-460C-B73D-6B1D404A996C}" name="I rok" dataDxfId="124">
      <calculatedColumnFormula array="1">IF(MAX(ROW(ispit[Indeks]) * (Table9[[#This Row],[Indeks]]=ispit[Indeks]) * ($S$1&gt;=ispit[Rok])) &gt; 0,INDEX(ispit[Rok],SUMPRODUCT(MAX(ROW(ispit[Indeks]) * (Table9[[#This Row],[Indeks]]=ispit[Indeks]) * ($S$1&gt;=ispit[Rok])) - 1)),0)</calculatedColumnFormula>
    </tableColumn>
  </tableColumns>
  <tableStyleInfo name="TableStyleMedium6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21BB7F9-8F50-4FD0-889F-ADEDE456BDB1}" name="Table11" displayName="Table11" ref="R5:S11" totalsRowShown="0" headerRowDxfId="123" dataDxfId="122">
  <autoFilter ref="R5:S11" xr:uid="{221BB7F9-8F50-4FD0-889F-ADEDE456BDB1}"/>
  <tableColumns count="2">
    <tableColumn id="1" xr3:uid="{7AA9517D-03E1-4A85-B01A-B818D0D01097}" name="Ocena" dataDxfId="121" totalsRowDxfId="120"/>
    <tableColumn id="2" xr3:uid="{C98C917F-8E3F-4B50-BF4B-0A31C12EC48E}" name="Broj" dataDxfId="119">
      <calculatedColumnFormula>COUNTIF(Table9[Ocena],Table11[[#This Row],[Ocena]])</calculatedColumnFormula>
    </tableColumn>
  </tableColumns>
  <tableStyleInfo name="TableStyleLight1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9C03F662-A9D3-4907-B19B-7684A30A1E21}" name="Table917" displayName="Table917" ref="A1:P17" totalsRowShown="0" headerRowDxfId="118" dataDxfId="117">
  <autoFilter ref="A1:P17" xr:uid="{C70F4A7D-40BE-4B84-BFC8-7A3EC2AD664A}"/>
  <sortState xmlns:xlrd2="http://schemas.microsoft.com/office/spreadsheetml/2017/richdata2" ref="A2:P17">
    <sortCondition ref="A1:A17"/>
  </sortState>
  <tableColumns count="16">
    <tableColumn id="1" xr3:uid="{33A44D7E-AF8F-41C0-976D-233742D7C876}" name="Indeks" dataDxfId="116"/>
    <tableColumn id="2" xr3:uid="{51551A97-EC1B-446A-809A-9BD4D99129D2}" name="Prezime i ime" dataDxfId="115">
      <calculatedColumnFormula>VLOOKUP(Table917[[#This Row],[Indeks]],spisakStudenata[[Indeks]:[Prezime i ime (latinica)]],3,FALSE)</calculatedColumnFormula>
    </tableColumn>
    <tableColumn id="3" xr3:uid="{2D3F902A-2C6F-4591-AD1F-CC626D1DC807}" name="K1" dataDxfId="114">
      <calculatedColumnFormula>IFERROR(10 * VLOOKUP(Table917[[#This Row],[Indeks]],prviKolokvijum[[Indeks]:[K1]],13,FALSE),0)</calculatedColumnFormula>
    </tableColumn>
    <tableColumn id="4" xr3:uid="{08B7758F-E7F2-464D-B60D-635D36B2DA56}" name="K2" dataDxfId="113">
      <calculatedColumnFormula>IFERROR(VLOOKUP(Table917[[#This Row],[Indeks]],drugiKolokvijum[[Indeks]:[Ukupno]],13,FALSE),0)*10</calculatedColumnFormula>
    </tableColumn>
    <tableColumn id="5" xr3:uid="{E50D3AA9-90C1-4EB3-9020-7B118F50D390}" name="L2" dataDxfId="112">
      <calculatedColumnFormula>IFERROR(VLOOKUP(Table917[[#This Row],[Indeks]],drugaLaboratorijskaVezba[],14,FALSE),0)</calculatedColumnFormula>
    </tableColumn>
    <tableColumn id="6" xr3:uid="{BFACC8C9-067D-4C9D-8DE7-875950F52F94}" name="L4" dataDxfId="111">
      <calculatedColumnFormula>IFERROR(VLOOKUP(Table917[[#This Row],[Indeks]],cetvrtaLaboratorijskaVezba[],14,FALSE),0)</calculatedColumnFormula>
    </tableColumn>
    <tableColumn id="7" xr3:uid="{984C75EA-DA91-4790-AC86-856B29BC61EC}" name="DZ1" dataDxfId="110">
      <calculatedColumnFormula>IFERROR(VLOOKUP(Table917[[#This Row],[Indeks]],dz[],4,FALSE),0)</calculatedColumnFormula>
    </tableColumn>
    <tableColumn id="8" xr3:uid="{E31EC475-5D2C-4BEA-834E-BC50CA42A1A3}" name="DZ2" dataDxfId="109">
      <calculatedColumnFormula>IFERROR(VLOOKUP(Table917[[#This Row],[Indeks]],dz[],5,FALSE),0)</calculatedColumnFormula>
    </tableColumn>
    <tableColumn id="9" xr3:uid="{BA4BFCDC-B242-4F47-838C-14AFCFF6F1CB}" name="L" dataDxfId="108">
      <calculatedColumnFormula>(MAX(Table917[[#This Row],[L2]],Table917[[#This Row],[DZ1]])+MAX(Table917[[#This Row],[L4]],Table917[[#This Row],[DZ2]]))/2</calculatedColumnFormula>
    </tableColumn>
    <tableColumn id="10" xr3:uid="{E6A5F043-CC28-466A-8F8A-3FF61CE6C110}" name="D" dataDxfId="107">
      <calculatedColumnFormula>(Table917[[#This Row],[DZ1]]+Table917[[#This Row],[DZ2]])/2</calculatedColumnFormula>
    </tableColumn>
    <tableColumn id="11" xr3:uid="{802D67F2-654D-4B66-BA3A-0ED8BC23147D}" name="K" dataDxfId="106">
      <calculatedColumnFormula array="1">MAX((Table917[[#This Row],[K1]]+Table917[[#This Row],[K2]])/2,IFERROR(INDEX(ispit[Ukupno], MATCH(Table917[[#This Row],[Indeks]]&amp;"1",ispit[Indeks]&amp;ispit[Rok],0)),0)*10)</calculatedColumnFormula>
    </tableColumn>
    <tableColumn id="12" xr3:uid="{51B81856-0DB2-4D13-AA9C-ADDAF3E1C677}" name="I" dataDxfId="105">
      <calculatedColumnFormula array="1">IF(MAX(ROW(ispit[Indeks]) * (Table917[[#This Row],[Indeks]]=ispit[Indeks]) * ($S$1&gt;=ispit[Rok])) &gt; 0,10 * INDEX(ispit[Ukupno],SUMPRODUCT(MAX(ROW(ispit[Indeks]) * (Table917[[#This Row],[Indeks]]=ispit[Indeks]) * ($S$1&gt;=ispit[Rok])) - 1)),0)</calculatedColumnFormula>
    </tableColumn>
    <tableColumn id="13" xr3:uid="{C55F6559-CD97-44B0-A906-09D08AF650BA}" name="P" dataDxfId="104">
      <calculatedColumnFormula>IF(AND(Table917[[#This Row],[L]]&gt;=40,Table917[[#This Row],[I]]&gt;=40),0.2*Table917[[#This Row],[L]]+0.3*Table917[[#This Row],[D]]+0.2*Table917[[#This Row],[K]]+0.3*Table917[[#This Row],[I]],0)</calculatedColumnFormula>
    </tableColumn>
    <tableColumn id="14" xr3:uid="{51CC685B-D380-4BC8-B8B2-F5D2C503D9B5}" name="Ocena" dataDxfId="103">
      <calculatedColumnFormula>IF(OR(Table917[[#This Row],[DZ rok]]=$S$1,Table917[[#This Row],[I rok]]=$S$1),MEDIAN(5,10,FLOOR((Table917[[#This Row],[P]] + 9.99)/10,1)),3)</calculatedColumnFormula>
    </tableColumn>
    <tableColumn id="16" xr3:uid="{82EC5F8A-6544-4C91-BA17-292372E7A656}" name="DZ rok" dataDxfId="102">
      <calculatedColumnFormula>IFERROR(VLOOKUP(Table917[[#This Row],[Indeks]],dz[],3,FALSE),"")</calculatedColumnFormula>
    </tableColumn>
    <tableColumn id="18" xr3:uid="{7557064E-EA4E-4634-B927-99CFDB708190}" name="I rok" dataDxfId="101">
      <calculatedColumnFormula array="1">IF(MAX(ROW(ispit[Indeks]) * (Table917[[#This Row],[Indeks]]=ispit[Indeks]) * ($S$1&gt;=ispit[Rok])) &gt; 0,INDEX(ispit[Rok],SUMPRODUCT(MAX(ROW(ispit[Indeks]) * (Table917[[#This Row],[Indeks]]=ispit[Indeks]) * ($S$1&gt;=ispit[Rok])) - 1)),0)</calculatedColumnFormula>
    </tableColumn>
  </tableColumns>
  <tableStyleInfo name="TableStyleMedium6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31DD7BF-7D72-4FDA-8567-556708373E27}" name="Table1118" displayName="Table1118" ref="R5:S11" totalsRowShown="0" headerRowDxfId="100" dataDxfId="99">
  <autoFilter ref="R5:S11" xr:uid="{221BB7F9-8F50-4FD0-889F-ADEDE456BDB1}"/>
  <tableColumns count="2">
    <tableColumn id="1" xr3:uid="{6BA41EE2-D5B8-4857-9B3F-B6F2837A88B2}" name="Ocena" dataDxfId="98" totalsRowDxfId="97"/>
    <tableColumn id="2" xr3:uid="{2C42650A-63C2-4169-AA2E-CEEE0EEFDD16}" name="Broj" dataDxfId="96">
      <calculatedColumnFormula>COUNTIF(Table917[Ocena],Table1118[[#This Row],[Ocena]])</calculatedColumnFormula>
    </tableColumn>
  </tableColumns>
  <tableStyleInfo name="TableStyleLight1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76009294-ED11-4239-9549-F0CC8E7309AE}" name="Table91719" displayName="Table91719" ref="A1:Q23" totalsRowShown="0" headerRowDxfId="95" dataDxfId="94">
  <autoFilter ref="A1:Q23" xr:uid="{C70F4A7D-40BE-4B84-BFC8-7A3EC2AD664A}"/>
  <sortState xmlns:xlrd2="http://schemas.microsoft.com/office/spreadsheetml/2017/richdata2" ref="A2:Q23">
    <sortCondition ref="A1:A23"/>
  </sortState>
  <tableColumns count="17">
    <tableColumn id="1" xr3:uid="{68C40E6E-50C6-4025-80A6-C2B991C4FDA2}" name="Indeks" dataDxfId="93"/>
    <tableColumn id="2" xr3:uid="{94280D73-57F2-4540-9A87-46B8ECAE36E2}" name="Prezime i ime" dataDxfId="92">
      <calculatedColumnFormula>VLOOKUP(Table91719[[#This Row],[Indeks]],spisakStudenata[[Indeks]:[Prezime i ime (latinica)]],3,FALSE)</calculatedColumnFormula>
    </tableColumn>
    <tableColumn id="3" xr3:uid="{00236420-D8D4-4A3C-82CA-86B0D6F0BCE2}" name="K1" dataDxfId="91">
      <calculatedColumnFormula>IFERROR(10 * VLOOKUP(Table91719[[#This Row],[Indeks]],prviKolokvijum[[Indeks]:[K1]],13,FALSE),0)</calculatedColumnFormula>
    </tableColumn>
    <tableColumn id="4" xr3:uid="{2E10D92F-8611-4AD8-8A95-C971BA508090}" name="K2" dataDxfId="90">
      <calculatedColumnFormula>IFERROR(VLOOKUP(Table91719[[#This Row],[Indeks]],drugiKolokvijum[[Indeks]:[Ukupno]],13,FALSE),0)*10</calculatedColumnFormula>
    </tableColumn>
    <tableColumn id="5" xr3:uid="{7A531914-B53A-4619-AC4C-CEBCA52ACBE2}" name="L2" dataDxfId="89">
      <calculatedColumnFormula>IFERROR(VLOOKUP(Table91719[[#This Row],[Indeks]],drugaLaboratorijskaVezba[],14,FALSE),0)</calculatedColumnFormula>
    </tableColumn>
    <tableColumn id="6" xr3:uid="{CB40766E-D4D1-44E2-9C4A-3E401B2C6CEB}" name="L4" dataDxfId="88">
      <calculatedColumnFormula>IFERROR(VLOOKUP(Table91719[[#This Row],[Indeks]],cetvrtaLaboratorijskaVezba[],14,FALSE),0)</calculatedColumnFormula>
    </tableColumn>
    <tableColumn id="7" xr3:uid="{2C48B1C2-3D9B-4768-981D-B0F5DD38F50E}" name="DZ1" dataDxfId="87">
      <calculatedColumnFormula>IFERROR(VLOOKUP(Table91719[[#This Row],[Indeks]],dz[],4,FALSE),0)</calculatedColumnFormula>
    </tableColumn>
    <tableColumn id="8" xr3:uid="{FCD146B2-F105-4721-A086-841E00425EE1}" name="DZ2" dataDxfId="86">
      <calculatedColumnFormula>IFERROR(VLOOKUP(Table91719[[#This Row],[Indeks]],dz[],5,FALSE),0)</calculatedColumnFormula>
    </tableColumn>
    <tableColumn id="9" xr3:uid="{704AF4A9-9477-4D58-9336-9E57576B08A9}" name="L" dataDxfId="85">
      <calculatedColumnFormula>(MAX(Table91719[[#This Row],[L2]],Table91719[[#This Row],[DZ1]])+MAX(Table91719[[#This Row],[L4]],Table91719[[#This Row],[DZ2]]))/2</calculatedColumnFormula>
    </tableColumn>
    <tableColumn id="10" xr3:uid="{5285A813-EAD8-4ABB-AC36-1E75036B1921}" name="D" dataDxfId="84">
      <calculatedColumnFormula>(Table91719[[#This Row],[DZ1]]+Table91719[[#This Row],[DZ2]])/2</calculatedColumnFormula>
    </tableColumn>
    <tableColumn id="11" xr3:uid="{AC0767D7-C294-42B9-A82D-080E95AE2B8C}" name="K" dataDxfId="83">
      <calculatedColumnFormula array="1">MAX((Table91719[[#This Row],[K1]]+Table91719[[#This Row],[K2]])/2,IFERROR(INDEX(ispit[Ukupno], MATCH(Table91719[[#This Row],[Indeks]]&amp;"1",ispit[Indeks]&amp;ispit[Rok],0)),0)*10)</calculatedColumnFormula>
    </tableColumn>
    <tableColumn id="12" xr3:uid="{67501A03-B962-42A7-9E04-957FD625A456}" name="I" dataDxfId="82">
      <calculatedColumnFormula array="1">IF(MAX(ROW(ispit[Indeks]) * (Table91719[[#This Row],[Indeks]]=ispit[Indeks]) * ($T$1&gt;=ispit[Rok])) &gt; 0,10 * INDEX(ispit[Ukupno],SUMPRODUCT(MAX(ROW(ispit[Indeks]) * (Table91719[[#This Row],[Indeks]]=ispit[Indeks]) * ($T$1&gt;=ispit[Rok])) - 1)),0)</calculatedColumnFormula>
    </tableColumn>
    <tableColumn id="13" xr3:uid="{253AD6C3-0689-428B-9769-ABA0B4BF5EF3}" name="P" dataDxfId="81">
      <calculatedColumnFormula>IF(AND(Table91719[[#This Row],[L]]&gt;=40,Table91719[[#This Row],[I]]&gt;=40),0.2*Table91719[[#This Row],[L]]+0.3*Table91719[[#This Row],[D]]+0.2*Table91719[[#This Row],[K]]+0.3*Table91719[[#This Row],[I]]+Table91719[[#This Row],[Dodato]],0)</calculatedColumnFormula>
    </tableColumn>
    <tableColumn id="14" xr3:uid="{7C4E4255-441F-4E0B-AA1E-0832B6BD22CB}" name="Ocena" dataDxfId="80">
      <calculatedColumnFormula>IF(OR(Table91719[[#This Row],[DZ rok]]=$T$1,Table91719[[#This Row],[I rok]]=$T$1),MEDIAN(5,10,FLOOR((Table91719[[#This Row],[P]] + 9.99)/10,1)),3)</calculatedColumnFormula>
    </tableColumn>
    <tableColumn id="15" xr3:uid="{12CEA189-C47F-4848-A00D-FC27ACF0D2FD}" name="Dodato" dataDxfId="79"/>
    <tableColumn id="16" xr3:uid="{2C2CB7CF-2F6A-4678-A8F6-CC8ED99F6396}" name="DZ rok" dataDxfId="78">
      <calculatedColumnFormula>IFERROR(VLOOKUP(Table91719[[#This Row],[Indeks]],dz[],3,FALSE),"")</calculatedColumnFormula>
    </tableColumn>
    <tableColumn id="18" xr3:uid="{2E916FE9-8ACB-42F5-A973-E9718F2AD1CA}" name="I rok" dataDxfId="77">
      <calculatedColumnFormula array="1">IF(MAX(ROW(ispit[Indeks]) * (Table91719[[#This Row],[Indeks]]=ispit[Indeks]) * ($T$1&gt;=ispit[Rok])) &gt; 0,INDEX(ispit[Rok],SUMPRODUCT(MAX(ROW(ispit[Indeks]) * (Table91719[[#This Row],[Indeks]]=ispit[Indeks]) * ($T$1&gt;=ispit[Rok])) - 1)),0)</calculatedColumnFormula>
    </tableColumn>
  </tableColumns>
  <tableStyleInfo name="TableStyleMedium6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CC781401-16C8-4561-BF56-9CC52FAD07AF}" name="Table111820" displayName="Table111820" ref="S5:T11" totalsRowShown="0" headerRowDxfId="76" dataDxfId="75">
  <autoFilter ref="S5:T11" xr:uid="{221BB7F9-8F50-4FD0-889F-ADEDE456BDB1}"/>
  <tableColumns count="2">
    <tableColumn id="1" xr3:uid="{4F87B668-65DF-46E0-9058-4624A091FF56}" name="Ocena" dataDxfId="74" totalsRowDxfId="73"/>
    <tableColumn id="2" xr3:uid="{F5631879-AD33-4EB5-B8B7-076BC6C4AA4F}" name="Broj" dataDxfId="72">
      <calculatedColumnFormula>COUNTIF(Table91719[Ocena],Table111820[[#This Row],[Ocena]])</calculatedColumnFormula>
    </tableColumn>
  </tableColumns>
  <tableStyleInfo name="TableStyleLight1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926830C6-1839-4006-8E1B-D3A8F95A68E6}" name="Table9171921" displayName="Table9171921" ref="A1:Q14" totalsRowShown="0" headerRowDxfId="71" dataDxfId="70">
  <autoFilter ref="A1:Q14" xr:uid="{C70F4A7D-40BE-4B84-BFC8-7A3EC2AD664A}"/>
  <sortState xmlns:xlrd2="http://schemas.microsoft.com/office/spreadsheetml/2017/richdata2" ref="A2:Q14">
    <sortCondition ref="A1:A14"/>
  </sortState>
  <tableColumns count="17">
    <tableColumn id="1" xr3:uid="{58826DE0-48E6-42AD-882D-0BE4A7B86A40}" name="Indeks" dataDxfId="69"/>
    <tableColumn id="2" xr3:uid="{75B5ECAC-D176-48BE-9A44-1C3BCD5715C2}" name="Prezime i ime" dataDxfId="68">
      <calculatedColumnFormula>VLOOKUP(Table9171921[[#This Row],[Indeks]],spisakStudenata[[Indeks]:[Prezime i ime (latinica)]],3,FALSE)</calculatedColumnFormula>
    </tableColumn>
    <tableColumn id="3" xr3:uid="{1E3392D7-6B59-4012-BDCA-03A3EC542000}" name="K1" dataDxfId="67">
      <calculatedColumnFormula>IFERROR(10 * VLOOKUP(Table9171921[[#This Row],[Indeks]],prviKolokvijum[[Indeks]:[K1]],13,FALSE),0)</calculatedColumnFormula>
    </tableColumn>
    <tableColumn id="4" xr3:uid="{F1297096-4D9C-452E-86FA-2DEF5F86C32B}" name="K2" dataDxfId="66">
      <calculatedColumnFormula>IFERROR(VLOOKUP(Table9171921[[#This Row],[Indeks]],drugiKolokvijum[[Indeks]:[Ukupno]],13,FALSE),0)*10</calculatedColumnFormula>
    </tableColumn>
    <tableColumn id="5" xr3:uid="{1D5C5D82-3379-4D0B-B5BE-18036F006BBB}" name="L2" dataDxfId="65">
      <calculatedColumnFormula>IFERROR(VLOOKUP(Table9171921[[#This Row],[Indeks]],drugaLaboratorijskaVezba[],14,FALSE),0)</calculatedColumnFormula>
    </tableColumn>
    <tableColumn id="6" xr3:uid="{8D2DF0C4-C99E-4DC2-A3F8-93FCD11F7534}" name="L4" dataDxfId="64">
      <calculatedColumnFormula>IFERROR(VLOOKUP(Table9171921[[#This Row],[Indeks]],cetvrtaLaboratorijskaVezba[],14,FALSE),0)</calculatedColumnFormula>
    </tableColumn>
    <tableColumn id="7" xr3:uid="{B8EDB9E4-4EA7-4C98-A2CA-ABC60160543C}" name="DZ1" dataDxfId="63">
      <calculatedColumnFormula>IFERROR(VLOOKUP(Table9171921[[#This Row],[Indeks]],dz[],4,FALSE),0)</calculatedColumnFormula>
    </tableColumn>
    <tableColumn id="8" xr3:uid="{EAE4301B-A802-443C-A7EA-46663E59A5EC}" name="DZ2" dataDxfId="62">
      <calculatedColumnFormula>IFERROR(VLOOKUP(Table9171921[[#This Row],[Indeks]],dz[],5,FALSE),0)</calculatedColumnFormula>
    </tableColumn>
    <tableColumn id="9" xr3:uid="{15D44986-0D6D-40B5-8032-DF777B8B87E4}" name="L" dataDxfId="61">
      <calculatedColumnFormula>(MAX(Table9171921[[#This Row],[L2]],Table9171921[[#This Row],[DZ1]])+MAX(Table9171921[[#This Row],[L4]],Table9171921[[#This Row],[DZ2]]))/2</calculatedColumnFormula>
    </tableColumn>
    <tableColumn id="10" xr3:uid="{A772984A-91BC-42A6-8229-2374A514A62A}" name="D" dataDxfId="60">
      <calculatedColumnFormula>(Table9171921[[#This Row],[DZ1]]+Table9171921[[#This Row],[DZ2]])/2</calculatedColumnFormula>
    </tableColumn>
    <tableColumn id="11" xr3:uid="{7605993E-E6BA-47CD-8C7E-8784780909C2}" name="K" dataDxfId="59">
      <calculatedColumnFormula array="1">MAX((Table9171921[[#This Row],[K1]]+Table9171921[[#This Row],[K2]])/2,IFERROR(INDEX(ispit[Ukupno], MATCH(Table9171921[[#This Row],[Indeks]]&amp;"1",ispit[Indeks]&amp;ispit[Rok],0)),0)*10)</calculatedColumnFormula>
    </tableColumn>
    <tableColumn id="12" xr3:uid="{96B0899F-CE79-46B2-AC34-EED94AD4DC14}" name="I" dataDxfId="58">
      <calculatedColumnFormula array="1">IF(MAX(ROW(ispit[Indeks]) * (Table9171921[[#This Row],[Indeks]]=ispit[Indeks]) * ($T$1&gt;=ispit[Rok])) &gt; 0,10 * INDEX(ispit[Ukupno],SUMPRODUCT(MAX(ROW(ispit[Indeks]) * (Table9171921[[#This Row],[Indeks]]=ispit[Indeks]) * ($T$1&gt;=ispit[Rok])) - 1)),0)</calculatedColumnFormula>
    </tableColumn>
    <tableColumn id="13" xr3:uid="{D10B2D94-914C-4578-A8F4-F894CFCDC935}" name="P" dataDxfId="4">
      <calculatedColumnFormula>IF(AND(Table9171921[[#This Row],[L]]&gt;=40,Table9171921[[#This Row],[I]]&gt;=40),0.2*Table9171921[[#This Row],[L]]+0.3*Table9171921[[#This Row],[D]]+0.2*Table9171921[[#This Row],[K]]+0.3*Table9171921[[#This Row],[I]]+Table9171921[[#This Row],[Dodato]],0)</calculatedColumnFormula>
    </tableColumn>
    <tableColumn id="14" xr3:uid="{EAA636D6-C83B-4BE7-B0B4-F4FE7A5BF6F7}" name="Ocena" dataDxfId="3">
      <calculatedColumnFormula>IF(OR(Table9171921[[#This Row],[DZ rok]]=$T$1,Table9171921[[#This Row],[I rok]]=$T$1),MEDIAN(5,10,FLOOR((Table9171921[[#This Row],[P]] + 9.99)/10,1)),3)</calculatedColumnFormula>
    </tableColumn>
    <tableColumn id="15" xr3:uid="{B7244DBD-3517-40F9-BDE1-5533D8022A90}" name="Dodato" dataDxfId="2"/>
    <tableColumn id="16" xr3:uid="{8DAD9345-8B4F-4C8B-B140-3F6342EA5C7E}" name="DZ rok" dataDxfId="1">
      <calculatedColumnFormula>IFERROR(VLOOKUP(Table9171921[[#This Row],[Indeks]],dz[],3,FALSE),"")</calculatedColumnFormula>
    </tableColumn>
    <tableColumn id="18" xr3:uid="{E6877000-7CB9-4FEA-A164-0FBB08803AF2}" name="I rok" dataDxfId="0">
      <calculatedColumnFormula array="1">IF(MAX(ROW(ispit[Indeks]) * (Table9171921[[#This Row],[Indeks]]=ispit[Indeks]) * ($T$1&gt;=ispit[Rok])) &gt; 0,INDEX(ispit[Rok],SUMPRODUCT(MAX(ROW(ispit[Indeks]) * (Table9171921[[#This Row],[Indeks]]=ispit[Indeks]) * ($T$1&gt;=ispit[Rok])) - 1)),0)</calculatedColumnFormula>
    </tableColumn>
  </tableColumns>
  <tableStyleInfo name="TableStyleMedium6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EAF470F4-AA70-4834-AC10-ECF2D197D5AD}" name="Table11182022" displayName="Table11182022" ref="S5:T11" totalsRowShown="0" headerRowDxfId="57" dataDxfId="56">
  <autoFilter ref="S5:T11" xr:uid="{221BB7F9-8F50-4FD0-889F-ADEDE456BDB1}"/>
  <tableColumns count="2">
    <tableColumn id="1" xr3:uid="{39E22484-4CD4-4E9E-B750-72CF18094769}" name="Ocena" dataDxfId="55" totalsRowDxfId="54"/>
    <tableColumn id="2" xr3:uid="{623E9FEE-2B8B-4F7D-B3BB-1D979736C25F}" name="Broj" dataDxfId="53">
      <calculatedColumnFormula>COUNTIF(Table9171921[Ocena],Table11182022[[#This Row],[Ocena]])</calculatedColumnFormula>
    </tableColumn>
  </tableColumns>
  <tableStyleInfo name="TableStyleLight1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385EF7C8-811C-4FA1-B8F7-DA7E58DF5C90}" name="Table917192123" displayName="Table917192123" ref="A1:Q6" totalsRowShown="0" headerRowDxfId="52" dataDxfId="51">
  <autoFilter ref="A1:Q6" xr:uid="{C70F4A7D-40BE-4B84-BFC8-7A3EC2AD664A}"/>
  <sortState xmlns:xlrd2="http://schemas.microsoft.com/office/spreadsheetml/2017/richdata2" ref="A2:Q16">
    <sortCondition ref="A1:A16"/>
  </sortState>
  <tableColumns count="17">
    <tableColumn id="1" xr3:uid="{4B0CD86C-BE46-4D30-AEF5-F3869774717F}" name="Indeks" dataDxfId="50"/>
    <tableColumn id="2" xr3:uid="{2A1E87C1-9B5D-4914-8D54-54CF1FBF910F}" name="Prezime i ime" dataDxfId="49">
      <calculatedColumnFormula>VLOOKUP(Table917192123[[#This Row],[Indeks]],spisakStudenata[[Indeks]:[Prezime i ime (latinica)]],3,FALSE)</calculatedColumnFormula>
    </tableColumn>
    <tableColumn id="3" xr3:uid="{294F4E63-D2D3-4E5D-B6E9-3CDCE8534EA0}" name="K1" dataDxfId="48">
      <calculatedColumnFormula>IFERROR(10 * VLOOKUP(Table917192123[[#This Row],[Indeks]],prviKolokvijum[[Indeks]:[K1]],13,FALSE),0)</calculatedColumnFormula>
    </tableColumn>
    <tableColumn id="4" xr3:uid="{3FBB55D1-8AD7-4FA1-B1CB-5C9AA369359A}" name="K2" dataDxfId="47">
      <calculatedColumnFormula>IFERROR(VLOOKUP(Table917192123[[#This Row],[Indeks]],drugiKolokvijum[[Indeks]:[Ukupno]],13,FALSE),0)*10</calculatedColumnFormula>
    </tableColumn>
    <tableColumn id="5" xr3:uid="{562F5514-43B2-44AC-BF1C-27126D8D2E1B}" name="L2" dataDxfId="46">
      <calculatedColumnFormula>IFERROR(VLOOKUP(Table917192123[[#This Row],[Indeks]],drugaLaboratorijskaVezba[],14,FALSE),0)</calculatedColumnFormula>
    </tableColumn>
    <tableColumn id="6" xr3:uid="{14943FB0-FEAA-4B2A-84A4-942365DF0740}" name="L4" dataDxfId="45">
      <calculatedColumnFormula>IFERROR(VLOOKUP(Table917192123[[#This Row],[Indeks]],cetvrtaLaboratorijskaVezba[],14,FALSE),0)</calculatedColumnFormula>
    </tableColumn>
    <tableColumn id="7" xr3:uid="{442DC8A1-BFF6-4F1D-98A9-66550598A9BF}" name="DZ1" dataDxfId="44">
      <calculatedColumnFormula>IFERROR(VLOOKUP(Table917192123[[#This Row],[Indeks]],dz[],4,FALSE),0)</calculatedColumnFormula>
    </tableColumn>
    <tableColumn id="8" xr3:uid="{EB4D578C-13B5-46C2-8556-B55BEE5671DA}" name="DZ2" dataDxfId="43">
      <calculatedColumnFormula>IFERROR(VLOOKUP(Table917192123[[#This Row],[Indeks]],dz[],5,FALSE),0)</calculatedColumnFormula>
    </tableColumn>
    <tableColumn id="9" xr3:uid="{296FF966-D44F-4D76-9439-948143C63C9A}" name="L" dataDxfId="42">
      <calculatedColumnFormula>(MAX(Table917192123[[#This Row],[L2]],Table917192123[[#This Row],[DZ1]])+MAX(Table917192123[[#This Row],[L4]],Table917192123[[#This Row],[DZ2]]))/2</calculatedColumnFormula>
    </tableColumn>
    <tableColumn id="10" xr3:uid="{933F1CB4-0715-4721-8900-30A6706EE75D}" name="D" dataDxfId="41">
      <calculatedColumnFormula>(Table917192123[[#This Row],[DZ1]]+Table917192123[[#This Row],[DZ2]])/2</calculatedColumnFormula>
    </tableColumn>
    <tableColumn id="11" xr3:uid="{E5E9399A-B708-4503-B613-C09739DBE43B}" name="K" dataDxfId="40">
      <calculatedColumnFormula array="1">MAX((Table917192123[[#This Row],[K1]]+Table917192123[[#This Row],[K2]])/2,IFERROR(INDEX(ispit[Ukupno], MATCH(Table917192123[[#This Row],[Indeks]]&amp;"1",ispit[Indeks]&amp;ispit[Rok],0)),0)*10)</calculatedColumnFormula>
    </tableColumn>
    <tableColumn id="12" xr3:uid="{3C253764-EAC2-441A-891B-90A66A3546C9}" name="I" dataDxfId="39">
      <calculatedColumnFormula array="1">IF(MAX(ROW(ispit[Indeks]) * (Table917192123[[#This Row],[Indeks]]=ispit[Indeks]) * ($T$1&gt;=ispit[Rok])) &gt; 0,10 * INDEX(ispit[Ukupno],SUMPRODUCT(MAX(ROW(ispit[Indeks]) * (Table917192123[[#This Row],[Indeks]]=ispit[Indeks]) * ($T$1&gt;=ispit[Rok])) - 1)),0)</calculatedColumnFormula>
    </tableColumn>
    <tableColumn id="13" xr3:uid="{6AE0F15D-31EF-4812-AB7F-8B237E59C8AB}" name="P" dataDxfId="38">
      <calculatedColumnFormula>IF(AND(Table917192123[[#This Row],[L]]&gt;=40,Table917192123[[#This Row],[I]]&gt;=40),0.2*Table917192123[[#This Row],[L]]+0.3*Table917192123[[#This Row],[D]]+0.2*Table917192123[[#This Row],[K]]+0.3*Table917192123[[#This Row],[I]]+Table917192123[[#This Row],[Dodato]],0)</calculatedColumnFormula>
    </tableColumn>
    <tableColumn id="14" xr3:uid="{30FFCEF4-AF27-4F2A-AD63-C18E351DB030}" name="Ocena" dataDxfId="37">
      <calculatedColumnFormula>IF(OR(Table917192123[[#This Row],[DZ rok]]=$S$1,Table917192123[[#This Row],[I rok]]=$S$1),MEDIAN(5,10,FLOOR((Table917192123[[#This Row],[P]] + 9.99)/10,1)),3)</calculatedColumnFormula>
    </tableColumn>
    <tableColumn id="15" xr3:uid="{82CA51E7-E1FA-4B6A-B216-844130296F30}" name="Dodato" dataDxfId="36"/>
    <tableColumn id="16" xr3:uid="{31A3C350-7319-4F30-AAB9-0B983ECC2F4F}" name="DZ rok" dataDxfId="35">
      <calculatedColumnFormula>IFERROR(VLOOKUP(Table917192123[[#This Row],[Indeks]],dz[],3,FALSE),"")</calculatedColumnFormula>
    </tableColumn>
    <tableColumn id="18" xr3:uid="{DD8ED094-77C1-45AE-8EDE-FBABDA92EA28}" name="I rok" dataDxfId="34">
      <calculatedColumnFormula array="1">IF(MAX(ROW(ispit[Indeks]) * (Table917192123[[#This Row],[Indeks]]=ispit[Indeks]) * ($T$1&gt;=ispit[Rok])) &gt; 0,INDEX(ispit[Rok],SUMPRODUCT(MAX(ROW(ispit[Indeks]) * (Table917192123[[#This Row],[Indeks]]=ispit[Indeks]) * ($T$1&gt;=ispit[Rok])) - 1)),0)</calculatedColumnFormula>
    </tableColumn>
  </tableColumns>
  <tableStyleInfo name="TableStyleMedium6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F39FBF53-782B-4D17-ADBC-3E7E7F899184}" name="Table1118202224" displayName="Table1118202224" ref="S5:T11" totalsRowShown="0" headerRowDxfId="33" dataDxfId="32">
  <autoFilter ref="S5:T11" xr:uid="{221BB7F9-8F50-4FD0-889F-ADEDE456BDB1}"/>
  <tableColumns count="2">
    <tableColumn id="1" xr3:uid="{A3EF9572-9254-46DB-9BA9-518C725B272C}" name="Ocena" dataDxfId="31" totalsRowDxfId="30"/>
    <tableColumn id="2" xr3:uid="{9BFAE39F-09AE-4733-B719-9F559DAEEA29}" name="Broj" dataDxfId="29">
      <calculatedColumnFormula>COUNTIF(Table917192123[Ocena],Table1118202224[[#This Row],[Ocena]])</calculatedColumnFormula>
    </tableColumn>
  </tableColumns>
  <tableStyleInfo name="TableStyleLight1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A883DEC2-7A9F-4F37-84C7-1F4F267BAA5C}" name="Table91719212325" displayName="Table91719212325" ref="A1:Q12" totalsRowShown="0" headerRowDxfId="28" dataDxfId="27">
  <autoFilter ref="A1:Q12" xr:uid="{C70F4A7D-40BE-4B84-BFC8-7A3EC2AD664A}"/>
  <sortState xmlns:xlrd2="http://schemas.microsoft.com/office/spreadsheetml/2017/richdata2" ref="A2:Q12">
    <sortCondition ref="A1:A12"/>
  </sortState>
  <tableColumns count="17">
    <tableColumn id="1" xr3:uid="{AF4568A9-A695-46AE-A6D7-FB8BFD6AB962}" name="Indeks" dataDxfId="26"/>
    <tableColumn id="2" xr3:uid="{5A161E79-4AE1-4AE1-98C2-C3C3D074958E}" name="Prezime i ime" dataDxfId="25">
      <calculatedColumnFormula>VLOOKUP(Table91719212325[[#This Row],[Indeks]],spisakStudenata[[Indeks]:[Prezime i ime (latinica)]],3,FALSE)</calculatedColumnFormula>
    </tableColumn>
    <tableColumn id="3" xr3:uid="{65D1944A-8E30-4733-B8EB-50B990BDC968}" name="K1" dataDxfId="24">
      <calculatedColumnFormula>IFERROR(10 * VLOOKUP(Table91719212325[[#This Row],[Indeks]],prviKolokvijum[[Indeks]:[K1]],13,FALSE),0)</calculatedColumnFormula>
    </tableColumn>
    <tableColumn id="4" xr3:uid="{CB12A0BC-CA7A-4BB3-A1C1-BF26E9826AED}" name="K2" dataDxfId="23">
      <calculatedColumnFormula>IFERROR(VLOOKUP(Table91719212325[[#This Row],[Indeks]],drugiKolokvijum[[Indeks]:[Ukupno]],13,FALSE),0)*10</calculatedColumnFormula>
    </tableColumn>
    <tableColumn id="5" xr3:uid="{181B2060-1C58-4C14-9A7D-7E7602D2BD12}" name="L2" dataDxfId="22">
      <calculatedColumnFormula>IFERROR(VLOOKUP(Table91719212325[[#This Row],[Indeks]],drugaLaboratorijskaVezba[],14,FALSE),0)</calculatedColumnFormula>
    </tableColumn>
    <tableColumn id="6" xr3:uid="{26068782-5E52-4C8E-8C91-A18AC3711A70}" name="L4" dataDxfId="21">
      <calculatedColumnFormula>IFERROR(VLOOKUP(Table91719212325[[#This Row],[Indeks]],cetvrtaLaboratorijskaVezba[],14,FALSE),0)</calculatedColumnFormula>
    </tableColumn>
    <tableColumn id="7" xr3:uid="{C1946DE3-526C-4084-B89D-F4E36F294E25}" name="DZ1" dataDxfId="20">
      <calculatedColumnFormula>IFERROR(VLOOKUP(Table91719212325[[#This Row],[Indeks]],dz[],4,FALSE),0)</calculatedColumnFormula>
    </tableColumn>
    <tableColumn id="8" xr3:uid="{1DD099F9-F05D-4636-8AA4-DF418D009388}" name="DZ2" dataDxfId="19">
      <calculatedColumnFormula>IFERROR(VLOOKUP(Table91719212325[[#This Row],[Indeks]],dz[],5,FALSE),0)</calculatedColumnFormula>
    </tableColumn>
    <tableColumn id="9" xr3:uid="{71B0C3C7-C8DE-4836-9B1D-F964CED92A7B}" name="L" dataDxfId="18">
      <calculatedColumnFormula>(MAX(Table91719212325[[#This Row],[L2]],Table91719212325[[#This Row],[DZ1]])+MAX(Table91719212325[[#This Row],[L4]],Table91719212325[[#This Row],[DZ2]]))/2</calculatedColumnFormula>
    </tableColumn>
    <tableColumn id="10" xr3:uid="{5049FAC9-F92A-45A4-A63C-C0004E076F07}" name="D" dataDxfId="17">
      <calculatedColumnFormula>(Table91719212325[[#This Row],[DZ1]]+Table91719212325[[#This Row],[DZ2]])/2</calculatedColumnFormula>
    </tableColumn>
    <tableColumn id="11" xr3:uid="{3EA2AD67-D1D2-481E-A4F0-01DDD6D8F4B4}" name="K" dataDxfId="16">
      <calculatedColumnFormula array="1">MAX((Table91719212325[[#This Row],[K1]]+Table91719212325[[#This Row],[K2]])/2,IFERROR(INDEX(ispit[Ukupno], MATCH(Table91719212325[[#This Row],[Indeks]]&amp;"1",ispit[Indeks]&amp;ispit[Rok],0)),0)*10)</calculatedColumnFormula>
    </tableColumn>
    <tableColumn id="12" xr3:uid="{669FBFFB-29B0-4FDE-AAFD-85D4B33FA057}" name="I" dataDxfId="15">
      <calculatedColumnFormula array="1">IF(MAX(ROW(ispit[Indeks]) * (Table91719212325[[#This Row],[Indeks]]=ispit[Indeks]) * ($T$1&gt;=ispit[Rok])) &gt; 0,10 * INDEX(ispit[Ukupno],SUMPRODUCT(MAX(ROW(ispit[Indeks]) * (Table91719212325[[#This Row],[Indeks]]=ispit[Indeks]) * ($T$1&gt;=ispit[Rok])) - 1)),0)</calculatedColumnFormula>
    </tableColumn>
    <tableColumn id="13" xr3:uid="{315E22D6-ED7A-4685-9320-87FC1A82A3A2}" name="P" dataDxfId="14">
      <calculatedColumnFormula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calculatedColumnFormula>
    </tableColumn>
    <tableColumn id="14" xr3:uid="{9532F7EF-9EC4-4C4B-AAD7-E863B9127E60}" name="Ocena" dataDxfId="13">
      <calculatedColumnFormula>IF(OR(Table91719212325[[#This Row],[DZ rok]]=$S$1,Table91719212325[[#This Row],[I rok]]=$S$1),MEDIAN(5,10,FLOOR((Table91719212325[[#This Row],[P]] + 9.99)/10,1)),3)</calculatedColumnFormula>
    </tableColumn>
    <tableColumn id="15" xr3:uid="{5AF02C74-ABC5-4C75-9FEB-AB91346B75BD}" name="Dodato" dataDxfId="12"/>
    <tableColumn id="16" xr3:uid="{ABA0DE9C-9954-4C52-B729-ED43EDF62408}" name="DZ rok" dataDxfId="11">
      <calculatedColumnFormula>IFERROR(VLOOKUP(Table91719212325[[#This Row],[Indeks]],dz[],3,FALSE),"")</calculatedColumnFormula>
    </tableColumn>
    <tableColumn id="18" xr3:uid="{A9FD28E9-70A2-4C48-BDAA-2CAC5E86568A}" name="I rok" dataDxfId="10">
      <calculatedColumnFormula array="1">IF(MAX(ROW(ispit[Indeks]) * (Table91719212325[[#This Row],[Indeks]]=ispit[Indeks]) * ($T$1&gt;=ispit[Rok])) &gt; 0,INDEX(ispit[Rok],SUMPRODUCT(MAX(ROW(ispit[Indeks]) * (Table91719212325[[#This Row],[Indeks]]=ispit[Indeks]) * ($T$1&gt;=ispit[Rok])) - 1)),0)</calculatedColumnFormula>
    </tableColumn>
  </tableColumns>
  <tableStyleInfo name="TableStyleMedium6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E46FB409-F9E2-404A-9671-E8EF2A2942AD}" name="Table111820222426" displayName="Table111820222426" ref="S5:T11" totalsRowShown="0" headerRowDxfId="9" dataDxfId="8">
  <autoFilter ref="S5:T11" xr:uid="{221BB7F9-8F50-4FD0-889F-ADEDE456BDB1}"/>
  <tableColumns count="2">
    <tableColumn id="1" xr3:uid="{79997FD2-0E7B-472D-A5D2-25D785EB0788}" name="Ocena" dataDxfId="7" totalsRowDxfId="6"/>
    <tableColumn id="2" xr3:uid="{FD6AC44F-D94F-4DC2-93CD-05D463D051F0}" name="Broj" dataDxfId="5">
      <calculatedColumnFormula>COUNTIF(Table91719212325[Ocena],Table111820222426[[#This Row],[Ocena]])</calculatedColumnFormula>
    </tableColumn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7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table" Target="../tables/table9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table" Target="../tables/table10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Relationship Id="rId4" Type="http://schemas.openxmlformats.org/officeDocument/2006/relationships/table" Target="../tables/table1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6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Relationship Id="rId4" Type="http://schemas.openxmlformats.org/officeDocument/2006/relationships/table" Target="../tables/table1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8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Relationship Id="rId4" Type="http://schemas.openxmlformats.org/officeDocument/2006/relationships/table" Target="../tables/table19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0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Relationship Id="rId4" Type="http://schemas.openxmlformats.org/officeDocument/2006/relationships/table" Target="../tables/table2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2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Relationship Id="rId4" Type="http://schemas.openxmlformats.org/officeDocument/2006/relationships/table" Target="../tables/table23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4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Relationship Id="rId4" Type="http://schemas.openxmlformats.org/officeDocument/2006/relationships/table" Target="../tables/table2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opLeftCell="A14" workbookViewId="0">
      <selection activeCell="C2" sqref="C2:C32"/>
    </sheetView>
  </sheetViews>
  <sheetFormatPr defaultRowHeight="14.4" x14ac:dyDescent="0.3"/>
  <cols>
    <col min="1" max="1" width="11.5546875" bestFit="1" customWidth="1"/>
    <col min="2" max="2" width="26.109375" bestFit="1" customWidth="1"/>
    <col min="3" max="3" width="27" bestFit="1" customWidth="1"/>
    <col min="4" max="4" width="11.33203125" bestFit="1" customWidth="1"/>
  </cols>
  <sheetData>
    <row r="1" spans="1:4" ht="15.6" x14ac:dyDescent="0.3">
      <c r="A1" s="2" t="s">
        <v>0</v>
      </c>
      <c r="B1" s="2" t="s">
        <v>2</v>
      </c>
      <c r="C1" s="2" t="s">
        <v>3</v>
      </c>
      <c r="D1" s="2" t="s">
        <v>4</v>
      </c>
    </row>
    <row r="2" spans="1:4" ht="15.6" x14ac:dyDescent="0.3">
      <c r="A2" s="3" t="s">
        <v>87</v>
      </c>
      <c r="B2" s="3" t="s">
        <v>88</v>
      </c>
      <c r="C2" s="2" t="s">
        <v>128</v>
      </c>
      <c r="D2" s="2" t="s">
        <v>89</v>
      </c>
    </row>
    <row r="3" spans="1:4" ht="15.6" x14ac:dyDescent="0.3">
      <c r="A3" s="3" t="s">
        <v>70</v>
      </c>
      <c r="B3" s="3" t="s">
        <v>71</v>
      </c>
      <c r="C3" s="2" t="s">
        <v>83</v>
      </c>
      <c r="D3" s="2" t="s">
        <v>12</v>
      </c>
    </row>
    <row r="4" spans="1:4" ht="15.6" x14ac:dyDescent="0.3">
      <c r="A4" s="3" t="s">
        <v>10</v>
      </c>
      <c r="B4" s="3" t="s">
        <v>11</v>
      </c>
      <c r="C4" s="2" t="s">
        <v>15</v>
      </c>
      <c r="D4" s="2" t="s">
        <v>12</v>
      </c>
    </row>
    <row r="5" spans="1:4" ht="15.6" x14ac:dyDescent="0.3">
      <c r="A5" s="3" t="s">
        <v>90</v>
      </c>
      <c r="B5" s="3" t="s">
        <v>91</v>
      </c>
      <c r="C5" s="2" t="s">
        <v>129</v>
      </c>
      <c r="D5" s="2" t="s">
        <v>12</v>
      </c>
    </row>
    <row r="6" spans="1:4" ht="15.6" x14ac:dyDescent="0.3">
      <c r="A6" s="3" t="s">
        <v>92</v>
      </c>
      <c r="B6" s="3" t="s">
        <v>93</v>
      </c>
      <c r="C6" s="2" t="s">
        <v>130</v>
      </c>
      <c r="D6" s="2" t="s">
        <v>12</v>
      </c>
    </row>
    <row r="7" spans="1:4" ht="15.6" x14ac:dyDescent="0.3">
      <c r="A7" s="3" t="s">
        <v>72</v>
      </c>
      <c r="B7" s="3" t="s">
        <v>73</v>
      </c>
      <c r="C7" s="2" t="s">
        <v>84</v>
      </c>
      <c r="D7" s="2" t="s">
        <v>12</v>
      </c>
    </row>
    <row r="8" spans="1:4" ht="15.6" x14ac:dyDescent="0.3">
      <c r="A8" s="3" t="s">
        <v>94</v>
      </c>
      <c r="B8" s="3" t="s">
        <v>95</v>
      </c>
      <c r="C8" s="2" t="s">
        <v>131</v>
      </c>
      <c r="D8" s="2" t="s">
        <v>12</v>
      </c>
    </row>
    <row r="9" spans="1:4" ht="15.6" x14ac:dyDescent="0.3">
      <c r="A9" s="3" t="s">
        <v>96</v>
      </c>
      <c r="B9" s="3" t="s">
        <v>97</v>
      </c>
      <c r="C9" s="2" t="s">
        <v>132</v>
      </c>
      <c r="D9" s="2" t="s">
        <v>12</v>
      </c>
    </row>
    <row r="10" spans="1:4" ht="15.6" x14ac:dyDescent="0.3">
      <c r="A10" s="3" t="s">
        <v>98</v>
      </c>
      <c r="B10" s="3" t="s">
        <v>99</v>
      </c>
      <c r="C10" s="2" t="s">
        <v>133</v>
      </c>
      <c r="D10" s="2" t="s">
        <v>12</v>
      </c>
    </row>
    <row r="11" spans="1:4" ht="15.6" x14ac:dyDescent="0.3">
      <c r="A11" s="3" t="s">
        <v>100</v>
      </c>
      <c r="B11" s="3" t="s">
        <v>101</v>
      </c>
      <c r="C11" s="2" t="s">
        <v>134</v>
      </c>
      <c r="D11" s="2" t="s">
        <v>12</v>
      </c>
    </row>
    <row r="12" spans="1:4" ht="15.6" x14ac:dyDescent="0.3">
      <c r="A12" s="3" t="s">
        <v>102</v>
      </c>
      <c r="B12" s="3" t="s">
        <v>103</v>
      </c>
      <c r="C12" s="2" t="s">
        <v>135</v>
      </c>
      <c r="D12" s="2" t="s">
        <v>12</v>
      </c>
    </row>
    <row r="13" spans="1:4" ht="15.6" x14ac:dyDescent="0.3">
      <c r="A13" s="3" t="s">
        <v>104</v>
      </c>
      <c r="B13" s="3" t="s">
        <v>105</v>
      </c>
      <c r="C13" s="2" t="s">
        <v>136</v>
      </c>
      <c r="D13" s="2" t="s">
        <v>12</v>
      </c>
    </row>
    <row r="14" spans="1:4" ht="15.6" x14ac:dyDescent="0.3">
      <c r="A14" s="3" t="s">
        <v>5</v>
      </c>
      <c r="B14" s="3" t="s">
        <v>6</v>
      </c>
      <c r="C14" s="2" t="s">
        <v>13</v>
      </c>
      <c r="D14" s="2" t="s">
        <v>9</v>
      </c>
    </row>
    <row r="15" spans="1:4" ht="15.6" x14ac:dyDescent="0.3">
      <c r="A15" s="3" t="s">
        <v>58</v>
      </c>
      <c r="B15" s="3" t="s">
        <v>59</v>
      </c>
      <c r="C15" s="2" t="s">
        <v>77</v>
      </c>
      <c r="D15" s="2" t="s">
        <v>9</v>
      </c>
    </row>
    <row r="16" spans="1:4" ht="15.6" x14ac:dyDescent="0.3">
      <c r="A16" s="3" t="s">
        <v>60</v>
      </c>
      <c r="B16" s="3" t="s">
        <v>61</v>
      </c>
      <c r="C16" s="2" t="s">
        <v>78</v>
      </c>
      <c r="D16" s="2" t="s">
        <v>9</v>
      </c>
    </row>
    <row r="17" spans="1:4" ht="15.6" x14ac:dyDescent="0.3">
      <c r="A17" s="3" t="s">
        <v>62</v>
      </c>
      <c r="B17" s="3" t="s">
        <v>63</v>
      </c>
      <c r="C17" s="2" t="s">
        <v>79</v>
      </c>
      <c r="D17" s="2" t="s">
        <v>9</v>
      </c>
    </row>
    <row r="18" spans="1:4" ht="15.6" x14ac:dyDescent="0.3">
      <c r="A18" s="3" t="s">
        <v>7</v>
      </c>
      <c r="B18" s="3" t="s">
        <v>8</v>
      </c>
      <c r="C18" s="2" t="s">
        <v>14</v>
      </c>
      <c r="D18" s="2" t="s">
        <v>9</v>
      </c>
    </row>
    <row r="19" spans="1:4" ht="15.6" x14ac:dyDescent="0.3">
      <c r="A19" s="3" t="s">
        <v>64</v>
      </c>
      <c r="B19" s="3" t="s">
        <v>65</v>
      </c>
      <c r="C19" s="2" t="s">
        <v>80</v>
      </c>
      <c r="D19" s="2" t="s">
        <v>9</v>
      </c>
    </row>
    <row r="20" spans="1:4" ht="15.6" x14ac:dyDescent="0.3">
      <c r="A20" s="3" t="s">
        <v>66</v>
      </c>
      <c r="B20" s="3" t="s">
        <v>67</v>
      </c>
      <c r="C20" s="2" t="s">
        <v>81</v>
      </c>
      <c r="D20" s="2" t="s">
        <v>9</v>
      </c>
    </row>
    <row r="21" spans="1:4" ht="15.6" x14ac:dyDescent="0.3">
      <c r="A21" s="3" t="s">
        <v>68</v>
      </c>
      <c r="B21" s="3" t="s">
        <v>69</v>
      </c>
      <c r="C21" s="2" t="s">
        <v>82</v>
      </c>
      <c r="D21" s="2" t="s">
        <v>9</v>
      </c>
    </row>
    <row r="22" spans="1:4" ht="15.6" x14ac:dyDescent="0.3">
      <c r="A22" s="3" t="s">
        <v>106</v>
      </c>
      <c r="B22" s="3" t="s">
        <v>107</v>
      </c>
      <c r="C22" s="2" t="s">
        <v>137</v>
      </c>
      <c r="D22" s="2" t="s">
        <v>9</v>
      </c>
    </row>
    <row r="23" spans="1:4" ht="15.6" x14ac:dyDescent="0.3">
      <c r="A23" s="3" t="s">
        <v>108</v>
      </c>
      <c r="B23" s="3" t="s">
        <v>109</v>
      </c>
      <c r="C23" s="2" t="s">
        <v>138</v>
      </c>
      <c r="D23" s="2" t="s">
        <v>9</v>
      </c>
    </row>
    <row r="24" spans="1:4" ht="15.6" x14ac:dyDescent="0.3">
      <c r="A24" s="3" t="s">
        <v>110</v>
      </c>
      <c r="B24" s="3" t="s">
        <v>111</v>
      </c>
      <c r="C24" s="2" t="s">
        <v>139</v>
      </c>
      <c r="D24" s="2" t="s">
        <v>9</v>
      </c>
    </row>
    <row r="25" spans="1:4" ht="15.6" x14ac:dyDescent="0.3">
      <c r="A25" s="3" t="s">
        <v>112</v>
      </c>
      <c r="B25" s="3" t="s">
        <v>113</v>
      </c>
      <c r="C25" s="2" t="s">
        <v>140</v>
      </c>
      <c r="D25" s="2" t="s">
        <v>9</v>
      </c>
    </row>
    <row r="26" spans="1:4" ht="15.6" x14ac:dyDescent="0.3">
      <c r="A26" s="3" t="s">
        <v>114</v>
      </c>
      <c r="B26" s="3" t="s">
        <v>115</v>
      </c>
      <c r="C26" s="2" t="s">
        <v>141</v>
      </c>
      <c r="D26" s="2" t="s">
        <v>9</v>
      </c>
    </row>
    <row r="27" spans="1:4" ht="15.6" x14ac:dyDescent="0.3">
      <c r="A27" s="3" t="s">
        <v>116</v>
      </c>
      <c r="B27" s="3" t="s">
        <v>117</v>
      </c>
      <c r="C27" s="2" t="s">
        <v>142</v>
      </c>
      <c r="D27" s="2" t="s">
        <v>9</v>
      </c>
    </row>
    <row r="28" spans="1:4" ht="15.6" x14ac:dyDescent="0.3">
      <c r="A28" s="3" t="s">
        <v>118</v>
      </c>
      <c r="B28" s="3" t="s">
        <v>119</v>
      </c>
      <c r="C28" s="2" t="s">
        <v>143</v>
      </c>
      <c r="D28" s="2" t="s">
        <v>9</v>
      </c>
    </row>
    <row r="29" spans="1:4" ht="15.6" x14ac:dyDescent="0.3">
      <c r="A29" s="3" t="s">
        <v>120</v>
      </c>
      <c r="B29" s="3" t="s">
        <v>121</v>
      </c>
      <c r="C29" s="2" t="s">
        <v>144</v>
      </c>
      <c r="D29" s="2" t="s">
        <v>9</v>
      </c>
    </row>
    <row r="30" spans="1:4" ht="15.6" x14ac:dyDescent="0.3">
      <c r="A30" s="3" t="s">
        <v>122</v>
      </c>
      <c r="B30" s="3" t="s">
        <v>123</v>
      </c>
      <c r="C30" s="2" t="s">
        <v>145</v>
      </c>
      <c r="D30" s="2" t="s">
        <v>9</v>
      </c>
    </row>
    <row r="31" spans="1:4" ht="15.6" x14ac:dyDescent="0.3">
      <c r="A31" s="3" t="s">
        <v>124</v>
      </c>
      <c r="B31" s="3" t="s">
        <v>125</v>
      </c>
      <c r="C31" s="2" t="s">
        <v>146</v>
      </c>
      <c r="D31" s="2" t="s">
        <v>9</v>
      </c>
    </row>
    <row r="32" spans="1:4" ht="15.6" x14ac:dyDescent="0.3">
      <c r="A32" s="3" t="s">
        <v>126</v>
      </c>
      <c r="B32" s="3" t="s">
        <v>127</v>
      </c>
      <c r="C32" s="2" t="s">
        <v>147</v>
      </c>
      <c r="D32" s="2" t="s">
        <v>9</v>
      </c>
    </row>
    <row r="33" spans="1:4" ht="15.6" x14ac:dyDescent="0.3">
      <c r="A33" s="3"/>
      <c r="B33" s="3"/>
      <c r="C33" s="2"/>
      <c r="D33" s="2"/>
    </row>
    <row r="34" spans="1:4" ht="15.6" x14ac:dyDescent="0.3">
      <c r="A34" s="3"/>
      <c r="B34" s="3"/>
      <c r="C34" s="2"/>
      <c r="D34" s="2"/>
    </row>
    <row r="35" spans="1:4" ht="15.6" x14ac:dyDescent="0.3">
      <c r="A35" s="3"/>
      <c r="B35" s="3"/>
      <c r="C35" s="2"/>
      <c r="D35" s="2"/>
    </row>
    <row r="36" spans="1:4" ht="15.6" x14ac:dyDescent="0.3">
      <c r="A36" s="3"/>
      <c r="B36" s="3"/>
      <c r="C36" s="2"/>
      <c r="D36" s="2"/>
    </row>
    <row r="37" spans="1:4" ht="15.6" x14ac:dyDescent="0.3">
      <c r="A37" s="3"/>
      <c r="B37" s="3"/>
      <c r="C37" s="2"/>
      <c r="D37" s="2"/>
    </row>
    <row r="38" spans="1:4" ht="15.6" x14ac:dyDescent="0.3">
      <c r="A38" s="3"/>
      <c r="B38" s="3"/>
      <c r="C38" s="2"/>
      <c r="D38" s="2"/>
    </row>
    <row r="39" spans="1:4" ht="15.6" x14ac:dyDescent="0.3">
      <c r="A39" s="3"/>
      <c r="B39" s="3"/>
      <c r="C39" s="2"/>
      <c r="D39" s="2"/>
    </row>
    <row r="40" spans="1:4" ht="15.6" x14ac:dyDescent="0.3">
      <c r="A40" s="3"/>
      <c r="B40" s="3"/>
      <c r="C40" s="2"/>
      <c r="D40" s="2"/>
    </row>
    <row r="41" spans="1:4" ht="15.6" x14ac:dyDescent="0.3">
      <c r="A41" s="3"/>
      <c r="B41" s="3"/>
      <c r="C41" s="2"/>
      <c r="D41" s="2"/>
    </row>
    <row r="42" spans="1:4" ht="15.6" x14ac:dyDescent="0.3">
      <c r="A42" s="3"/>
      <c r="B42" s="3"/>
      <c r="C42" s="2"/>
      <c r="D42" s="2"/>
    </row>
    <row r="43" spans="1:4" ht="15.6" x14ac:dyDescent="0.3">
      <c r="A43" s="3"/>
      <c r="B43" s="3"/>
      <c r="C43" s="2"/>
      <c r="D43" s="2"/>
    </row>
    <row r="44" spans="1:4" ht="15.6" x14ac:dyDescent="0.3">
      <c r="A44" s="3"/>
      <c r="B44" s="3"/>
      <c r="C44" s="2"/>
      <c r="D44" s="2"/>
    </row>
    <row r="45" spans="1:4" ht="15.6" x14ac:dyDescent="0.3">
      <c r="A45" s="3"/>
      <c r="B45" s="3"/>
      <c r="C45" s="2"/>
      <c r="D45" s="2"/>
    </row>
    <row r="46" spans="1:4" ht="15.6" x14ac:dyDescent="0.3">
      <c r="A46" s="3"/>
      <c r="B46" s="3"/>
      <c r="C46" s="2"/>
      <c r="D46" s="2"/>
    </row>
    <row r="47" spans="1:4" ht="15.6" x14ac:dyDescent="0.3">
      <c r="A47" s="3"/>
      <c r="B47" s="3"/>
      <c r="C47" s="2"/>
      <c r="D47" s="2"/>
    </row>
    <row r="48" spans="1:4" ht="15.6" x14ac:dyDescent="0.3">
      <c r="A48" s="3"/>
      <c r="B48" s="3"/>
      <c r="C48" s="2"/>
      <c r="D48" s="2"/>
    </row>
    <row r="49" spans="1:4" ht="15.6" x14ac:dyDescent="0.3">
      <c r="A49" s="3"/>
      <c r="B49" s="3"/>
      <c r="C49" s="2"/>
      <c r="D49" s="2"/>
    </row>
    <row r="50" spans="1:4" ht="15.6" x14ac:dyDescent="0.3">
      <c r="A50" s="3"/>
      <c r="B50" s="3"/>
      <c r="C50" s="2"/>
      <c r="D50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B4940-D2FE-4754-8939-9E894E0FFB13}">
  <dimension ref="A1:R34"/>
  <sheetViews>
    <sheetView topLeftCell="A4" zoomScaleNormal="100" workbookViewId="0">
      <selection activeCell="B10" sqref="B10"/>
    </sheetView>
  </sheetViews>
  <sheetFormatPr defaultRowHeight="15.6" x14ac:dyDescent="0.3"/>
  <cols>
    <col min="1" max="1" width="32.88671875" style="4" bestFit="1" customWidth="1"/>
    <col min="2" max="2" width="11.33203125" style="4" bestFit="1" customWidth="1"/>
    <col min="3" max="3" width="21.77734375" style="4" bestFit="1" customWidth="1"/>
    <col min="4" max="12" width="7.5546875" style="4" bestFit="1" customWidth="1"/>
    <col min="13" max="13" width="8.77734375" style="4" bestFit="1" customWidth="1"/>
    <col min="14" max="14" width="7.5546875" style="4" bestFit="1" customWidth="1"/>
    <col min="15" max="15" width="8.88671875" style="4"/>
    <col min="16" max="16" width="11.21875" style="4" bestFit="1" customWidth="1"/>
    <col min="17" max="17" width="9" style="4" bestFit="1" customWidth="1"/>
    <col min="18" max="18" width="13.6640625" style="4" bestFit="1" customWidth="1"/>
    <col min="19" max="16384" width="8.88671875" style="4"/>
  </cols>
  <sheetData>
    <row r="1" spans="1:18" x14ac:dyDescent="0.3">
      <c r="A1" s="2" t="s">
        <v>35</v>
      </c>
      <c r="B1" s="2" t="s">
        <v>0</v>
      </c>
      <c r="C1" s="2" t="s">
        <v>1</v>
      </c>
      <c r="D1" s="2" t="s">
        <v>16</v>
      </c>
      <c r="E1" s="2" t="s">
        <v>17</v>
      </c>
      <c r="F1" s="2" t="s">
        <v>18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31</v>
      </c>
      <c r="P1" s="2" t="s">
        <v>27</v>
      </c>
      <c r="Q1" s="2" t="s">
        <v>26</v>
      </c>
      <c r="R1" s="2" t="s">
        <v>47</v>
      </c>
    </row>
    <row r="2" spans="1:18" x14ac:dyDescent="0.3">
      <c r="A2" s="2" t="s">
        <v>74</v>
      </c>
      <c r="B2" s="2" t="str">
        <f>"20"&amp;MID(prviKolokvijum[[#This Row],[Email]],3,2)&amp;"/"&amp;MID(prviKolokvijum[[#This Row],[Email]],5,4)</f>
        <v>2016/0270</v>
      </c>
      <c r="C2" s="5" t="str">
        <f>VLOOKUP(prviKolokvijum[[#This Row],[Indeks]],spisakStudenata[],3,FALSE)</f>
        <v>Janevski Ivan</v>
      </c>
      <c r="D2" s="5">
        <v>1</v>
      </c>
      <c r="E2" s="5">
        <v>1</v>
      </c>
      <c r="F2" s="5">
        <v>0</v>
      </c>
      <c r="G2" s="5">
        <v>0</v>
      </c>
      <c r="H2" s="5">
        <v>1</v>
      </c>
      <c r="I2" s="5">
        <v>0.75</v>
      </c>
      <c r="J2" s="5">
        <v>0</v>
      </c>
      <c r="K2" s="5">
        <v>0</v>
      </c>
      <c r="L2" s="5">
        <v>0</v>
      </c>
      <c r="M2" s="5">
        <v>0</v>
      </c>
      <c r="N2" s="10">
        <f>MAX(SUM(prviKolokvijum[[#This Row],[P1]]:prviKolokvijum[[#This Row],[P10]]),SUM(prviKolokvijum[[#This Row],[P1]]:prviKolokvijum[[#This Row],[P9]]) * 10/9)</f>
        <v>4.166666666666667</v>
      </c>
      <c r="P2" s="2">
        <v>5</v>
      </c>
      <c r="Q2" s="2">
        <f>COUNTIF(prviKolokvijum[K1],"&lt;="&amp;P2)</f>
        <v>3</v>
      </c>
      <c r="R2" s="9">
        <f>Table3[[#This Row],[Broj]]/SUM(Table3[Broj])</f>
        <v>0.14285714285714285</v>
      </c>
    </row>
    <row r="3" spans="1:18" x14ac:dyDescent="0.3">
      <c r="A3" s="2" t="s">
        <v>76</v>
      </c>
      <c r="B3" s="2" t="str">
        <f>"20"&amp;MID(prviKolokvijum[[#This Row],[Email]],3,2)&amp;"/"&amp;MID(prviKolokvijum[[#This Row],[Email]],5,4)</f>
        <v>2016/0478</v>
      </c>
      <c r="C3" s="5" t="str">
        <f>VLOOKUP(prviKolokvijum[[#This Row],[Indeks]],spisakStudenata[],3,FALSE)</f>
        <v>Rogan Aleksandar</v>
      </c>
      <c r="D3" s="5">
        <v>1</v>
      </c>
      <c r="E3" s="5">
        <v>1</v>
      </c>
      <c r="F3" s="5">
        <v>1</v>
      </c>
      <c r="G3" s="5">
        <v>1</v>
      </c>
      <c r="H3" s="5">
        <v>1</v>
      </c>
      <c r="I3" s="5">
        <v>1</v>
      </c>
      <c r="J3" s="5">
        <v>1</v>
      </c>
      <c r="K3" s="5">
        <v>0</v>
      </c>
      <c r="L3" s="5">
        <v>0.67</v>
      </c>
      <c r="M3" s="5">
        <v>0</v>
      </c>
      <c r="N3" s="10">
        <f>MAX(SUM(prviKolokvijum[[#This Row],[P1]]:prviKolokvijum[[#This Row],[P10]]),SUM(prviKolokvijum[[#This Row],[P1]]:prviKolokvijum[[#This Row],[P9]]) * 10/9)</f>
        <v>8.5222222222222221</v>
      </c>
      <c r="P3" s="2">
        <v>6</v>
      </c>
      <c r="Q3" s="2">
        <f>COUNTIFS(prviKolokvijum[K1],"&lt;="&amp;P3,prviKolokvijum[K1],"&gt;"&amp;P2)</f>
        <v>3</v>
      </c>
      <c r="R3" s="9">
        <f>Table3[[#This Row],[Broj]]/SUM(Table3[Broj])</f>
        <v>0.14285714285714285</v>
      </c>
    </row>
    <row r="4" spans="1:18" x14ac:dyDescent="0.3">
      <c r="A4" s="2" t="s">
        <v>163</v>
      </c>
      <c r="B4" s="2" t="str">
        <f>"20"&amp;MID(prviKolokvijum[[#This Row],[Email]],3,2)&amp;"/"&amp;MID(prviKolokvijum[[#This Row],[Email]],5,4)</f>
        <v>2017/0262</v>
      </c>
      <c r="C4" s="5" t="str">
        <f>VLOOKUP(prviKolokvijum[[#This Row],[Indeks]],spisakStudenata[],3,FALSE)</f>
        <v>Adamović Aleksa</v>
      </c>
      <c r="D4" s="5">
        <v>1</v>
      </c>
      <c r="E4" s="5">
        <v>0</v>
      </c>
      <c r="F4" s="5">
        <v>0.25</v>
      </c>
      <c r="G4" s="5">
        <v>0</v>
      </c>
      <c r="H4" s="5">
        <v>1</v>
      </c>
      <c r="I4" s="5">
        <v>1</v>
      </c>
      <c r="J4" s="5">
        <v>0.75</v>
      </c>
      <c r="K4" s="5">
        <v>1</v>
      </c>
      <c r="L4" s="5">
        <v>1</v>
      </c>
      <c r="M4" s="5">
        <v>0</v>
      </c>
      <c r="N4" s="10">
        <f>MAX(SUM(prviKolokvijum[[#This Row],[P1]]:prviKolokvijum[[#This Row],[P10]]),SUM(prviKolokvijum[[#This Row],[P1]]:prviKolokvijum[[#This Row],[P9]]) * 10/9)</f>
        <v>6.666666666666667</v>
      </c>
      <c r="P4" s="2">
        <v>7</v>
      </c>
      <c r="Q4" s="2">
        <f>COUNTIFS(prviKolokvijum[K1],"&lt;="&amp;P4,prviKolokvijum[K1],"&gt;"&amp;P3)</f>
        <v>7</v>
      </c>
      <c r="R4" s="9">
        <f>Table3[[#This Row],[Broj]]/SUM(Table3[Broj])</f>
        <v>0.33333333333333331</v>
      </c>
    </row>
    <row r="5" spans="1:18" x14ac:dyDescent="0.3">
      <c r="A5" s="2" t="s">
        <v>160</v>
      </c>
      <c r="B5" s="2" t="str">
        <f>"20"&amp;MID(prviKolokvijum[[#This Row],[Email]],3,2)&amp;"/"&amp;MID(prviKolokvijum[[#This Row],[Email]],5,4)</f>
        <v>2017/0635</v>
      </c>
      <c r="C5" s="5" t="str">
        <f>VLOOKUP(prviKolokvijum[[#This Row],[Indeks]],spisakStudenata[],3,FALSE)</f>
        <v>Miletić Marija</v>
      </c>
      <c r="D5" s="5">
        <v>0</v>
      </c>
      <c r="E5" s="5">
        <v>1</v>
      </c>
      <c r="F5" s="5">
        <v>1</v>
      </c>
      <c r="G5" s="5">
        <v>0</v>
      </c>
      <c r="H5" s="5">
        <v>1</v>
      </c>
      <c r="I5" s="5">
        <v>1</v>
      </c>
      <c r="J5" s="5">
        <v>0</v>
      </c>
      <c r="K5" s="5">
        <v>1</v>
      </c>
      <c r="L5" s="5">
        <v>0</v>
      </c>
      <c r="M5" s="5">
        <v>0.33</v>
      </c>
      <c r="N5" s="10">
        <f>MAX(SUM(prviKolokvijum[[#This Row],[P1]]:prviKolokvijum[[#This Row],[P10]]),SUM(prviKolokvijum[[#This Row],[P1]]:prviKolokvijum[[#This Row],[P9]]) * 10/9)</f>
        <v>5.5555555555555554</v>
      </c>
      <c r="P5" s="2">
        <v>8</v>
      </c>
      <c r="Q5" s="2">
        <f>COUNTIFS(prviKolokvijum[K1],"&lt;="&amp;P5,prviKolokvijum[K1],"&gt;"&amp;P4)</f>
        <v>2</v>
      </c>
      <c r="R5" s="9">
        <f>Table3[[#This Row],[Broj]]/SUM(Table3[Broj])</f>
        <v>9.5238095238095233E-2</v>
      </c>
    </row>
    <row r="6" spans="1:18" x14ac:dyDescent="0.3">
      <c r="A6" s="2" t="s">
        <v>152</v>
      </c>
      <c r="B6" s="2" t="str">
        <f>"20"&amp;MID(prviKolokvijum[[#This Row],[Email]],3,2)&amp;"/"&amp;MID(prviKolokvijum[[#This Row],[Email]],5,4)</f>
        <v>2018/0418</v>
      </c>
      <c r="C6" s="5" t="str">
        <f>VLOOKUP(prviKolokvijum[[#This Row],[Indeks]],spisakStudenata[],3,FALSE)</f>
        <v>Popović Dimitrije</v>
      </c>
      <c r="D6" s="5">
        <v>1</v>
      </c>
      <c r="E6" s="5">
        <v>0</v>
      </c>
      <c r="F6" s="5">
        <v>1</v>
      </c>
      <c r="G6" s="5">
        <v>1</v>
      </c>
      <c r="H6" s="5">
        <v>1</v>
      </c>
      <c r="I6" s="5">
        <v>1</v>
      </c>
      <c r="J6" s="5">
        <v>0</v>
      </c>
      <c r="K6" s="5">
        <v>0</v>
      </c>
      <c r="L6" s="5">
        <v>0.67</v>
      </c>
      <c r="M6" s="5">
        <v>0</v>
      </c>
      <c r="N6" s="10">
        <f>MAX(SUM(prviKolokvijum[[#This Row],[P1]]:prviKolokvijum[[#This Row],[P10]]),SUM(prviKolokvijum[[#This Row],[P1]]:prviKolokvijum[[#This Row],[P9]]) * 10/9)</f>
        <v>6.3000000000000007</v>
      </c>
      <c r="P6" s="2">
        <v>9</v>
      </c>
      <c r="Q6" s="2">
        <f>COUNTIFS(prviKolokvijum[K1],"&lt;="&amp;P6,prviKolokvijum[K1],"&gt;"&amp;P5)</f>
        <v>3</v>
      </c>
      <c r="R6" s="9">
        <f>Table3[[#This Row],[Broj]]/SUM(Table3[Broj])</f>
        <v>0.14285714285714285</v>
      </c>
    </row>
    <row r="7" spans="1:18" x14ac:dyDescent="0.3">
      <c r="A7" s="2" t="s">
        <v>75</v>
      </c>
      <c r="B7" s="2" t="str">
        <f>"20"&amp;MID(prviKolokvijum[[#This Row],[Email]],3,2)&amp;"/"&amp;MID(prviKolokvijum[[#This Row],[Email]],5,4)</f>
        <v>2018/0660</v>
      </c>
      <c r="C7" s="5" t="str">
        <f>VLOOKUP(prviKolokvijum[[#This Row],[Indeks]],spisakStudenata[],3,FALSE)</f>
        <v>Milošević Isidora</v>
      </c>
      <c r="D7" s="5">
        <v>0</v>
      </c>
      <c r="E7" s="5">
        <v>1</v>
      </c>
      <c r="F7" s="5">
        <v>0.25</v>
      </c>
      <c r="G7" s="5">
        <v>1</v>
      </c>
      <c r="H7" s="5">
        <v>1</v>
      </c>
      <c r="I7" s="5">
        <v>1</v>
      </c>
      <c r="J7" s="5">
        <v>0</v>
      </c>
      <c r="K7" s="5">
        <v>0</v>
      </c>
      <c r="L7" s="5">
        <v>0.33</v>
      </c>
      <c r="M7" s="5">
        <v>0</v>
      </c>
      <c r="N7" s="10">
        <f>MAX(SUM(prviKolokvijum[[#This Row],[P1]]:prviKolokvijum[[#This Row],[P10]]),SUM(prviKolokvijum[[#This Row],[P1]]:prviKolokvijum[[#This Row],[P9]]) * 10/9)</f>
        <v>5.0888888888888886</v>
      </c>
      <c r="P7" s="2">
        <v>10</v>
      </c>
      <c r="Q7" s="2">
        <f>COUNTIFS(prviKolokvijum[K1],"&lt;="&amp;P7,prviKolokvijum[K1],"&gt;"&amp;P6)</f>
        <v>3</v>
      </c>
      <c r="R7" s="9">
        <f>Table3[[#This Row],[Broj]]/SUM(Table3[Broj])</f>
        <v>0.14285714285714285</v>
      </c>
    </row>
    <row r="8" spans="1:18" x14ac:dyDescent="0.3">
      <c r="A8" s="2" t="s">
        <v>154</v>
      </c>
      <c r="B8" s="2" t="str">
        <f>"20"&amp;MID(prviKolokvijum[[#This Row],[Email]],3,2)&amp;"/"&amp;MID(prviKolokvijum[[#This Row],[Email]],5,4)</f>
        <v>2019/0066</v>
      </c>
      <c r="C8" s="5" t="str">
        <f>VLOOKUP(prviKolokvijum[[#This Row],[Indeks]],spisakStudenata[],3,FALSE)</f>
        <v>Stojiljković Aleksa</v>
      </c>
      <c r="D8" s="5">
        <v>1</v>
      </c>
      <c r="E8" s="5">
        <v>1</v>
      </c>
      <c r="F8" s="5">
        <v>1</v>
      </c>
      <c r="G8" s="5">
        <v>1</v>
      </c>
      <c r="H8" s="5">
        <v>1</v>
      </c>
      <c r="I8" s="5">
        <v>1</v>
      </c>
      <c r="J8" s="5">
        <v>0.75</v>
      </c>
      <c r="K8" s="5">
        <v>1</v>
      </c>
      <c r="L8" s="5">
        <v>0.67</v>
      </c>
      <c r="M8" s="5">
        <v>0</v>
      </c>
      <c r="N8" s="10">
        <f>MAX(SUM(prviKolokvijum[[#This Row],[P1]]:prviKolokvijum[[#This Row],[P10]]),SUM(prviKolokvijum[[#This Row],[P1]]:prviKolokvijum[[#This Row],[P9]]) * 10/9)</f>
        <v>9.3555555555555561</v>
      </c>
    </row>
    <row r="9" spans="1:18" x14ac:dyDescent="0.3">
      <c r="A9" s="2" t="s">
        <v>153</v>
      </c>
      <c r="B9" s="2" t="str">
        <f>"20"&amp;MID(prviKolokvijum[[#This Row],[Email]],3,2)&amp;"/"&amp;MID(prviKolokvijum[[#This Row],[Email]],5,4)</f>
        <v>2019/0068</v>
      </c>
      <c r="C9" s="5" t="str">
        <f>VLOOKUP(prviKolokvijum[[#This Row],[Indeks]],spisakStudenata[],3,FALSE)</f>
        <v>Stefanović Marija</v>
      </c>
      <c r="D9" s="5">
        <v>0</v>
      </c>
      <c r="E9" s="5">
        <v>1</v>
      </c>
      <c r="F9" s="5">
        <v>1</v>
      </c>
      <c r="G9" s="5">
        <v>1</v>
      </c>
      <c r="H9" s="5">
        <v>1</v>
      </c>
      <c r="I9" s="5">
        <v>0.5</v>
      </c>
      <c r="J9" s="5">
        <v>0</v>
      </c>
      <c r="K9" s="5">
        <v>1</v>
      </c>
      <c r="L9" s="5">
        <v>0</v>
      </c>
      <c r="M9" s="5">
        <v>0</v>
      </c>
      <c r="N9" s="10">
        <f>MAX(SUM(prviKolokvijum[[#This Row],[P1]]:prviKolokvijum[[#This Row],[P10]]),SUM(prviKolokvijum[[#This Row],[P1]]:prviKolokvijum[[#This Row],[P9]]) * 10/9)</f>
        <v>6.1111111111111107</v>
      </c>
    </row>
    <row r="10" spans="1:18" x14ac:dyDescent="0.3">
      <c r="A10" s="2" t="s">
        <v>162</v>
      </c>
      <c r="B10" s="2" t="str">
        <f>"20"&amp;MID(prviKolokvijum[[#This Row],[Email]],3,2)&amp;"/"&amp;MID(prviKolokvijum[[#This Row],[Email]],5,4)</f>
        <v>2019/0236</v>
      </c>
      <c r="C10" s="5" t="str">
        <f>VLOOKUP(prviKolokvijum[[#This Row],[Indeks]],spisakStudenata[],3,FALSE)</f>
        <v>Spasojević Aleksandar</v>
      </c>
      <c r="D10" s="5">
        <v>0</v>
      </c>
      <c r="E10" s="5">
        <v>1</v>
      </c>
      <c r="F10" s="5">
        <v>0</v>
      </c>
      <c r="G10" s="5">
        <v>1</v>
      </c>
      <c r="H10" s="5">
        <v>1</v>
      </c>
      <c r="I10" s="5">
        <v>1</v>
      </c>
      <c r="J10" s="5">
        <v>1</v>
      </c>
      <c r="K10" s="5">
        <v>1</v>
      </c>
      <c r="L10" s="5">
        <v>0.17</v>
      </c>
      <c r="M10" s="5">
        <v>0</v>
      </c>
      <c r="N10" s="10">
        <f>MAX(SUM(prviKolokvijum[[#This Row],[P1]]:prviKolokvijum[[#This Row],[P10]]),SUM(prviKolokvijum[[#This Row],[P1]]:prviKolokvijum[[#This Row],[P9]]) * 10/9)</f>
        <v>6.8555555555555561</v>
      </c>
    </row>
    <row r="11" spans="1:18" x14ac:dyDescent="0.3">
      <c r="A11" s="2" t="s">
        <v>159</v>
      </c>
      <c r="B11" s="2" t="str">
        <f>"20"&amp;MID(prviKolokvijum[[#This Row],[Email]],3,2)&amp;"/"&amp;MID(prviKolokvijum[[#This Row],[Email]],5,4)</f>
        <v>2019/0385</v>
      </c>
      <c r="C11" s="5" t="str">
        <f>VLOOKUP(prviKolokvijum[[#This Row],[Indeks]],spisakStudenata[],3,FALSE)</f>
        <v>Kovačević Miloš</v>
      </c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5">
        <v>1</v>
      </c>
      <c r="K11" s="5">
        <v>1</v>
      </c>
      <c r="L11" s="5">
        <v>0.67</v>
      </c>
      <c r="M11" s="5">
        <v>0.67</v>
      </c>
      <c r="N11" s="10">
        <f>MAX(SUM(prviKolokvijum[[#This Row],[P1]]:prviKolokvijum[[#This Row],[P10]]),SUM(prviKolokvijum[[#This Row],[P1]]:prviKolokvijum[[#This Row],[P9]]) * 10/9)</f>
        <v>9.6333333333333329</v>
      </c>
    </row>
    <row r="12" spans="1:18" x14ac:dyDescent="0.3">
      <c r="A12" s="2" t="s">
        <v>164</v>
      </c>
      <c r="B12" s="2" t="str">
        <f>"20"&amp;MID(prviKolokvijum[[#This Row],[Email]],3,2)&amp;"/"&amp;MID(prviKolokvijum[[#This Row],[Email]],5,4)</f>
        <v>2019/0487</v>
      </c>
      <c r="C12" s="5" t="str">
        <f>VLOOKUP(prviKolokvijum[[#This Row],[Indeks]],spisakStudenata[],3,FALSE)</f>
        <v>Mikanović Darko</v>
      </c>
      <c r="D12" s="5">
        <v>1</v>
      </c>
      <c r="E12" s="5">
        <v>1</v>
      </c>
      <c r="F12" s="5">
        <v>1</v>
      </c>
      <c r="G12" s="5">
        <v>1</v>
      </c>
      <c r="H12" s="5">
        <v>1</v>
      </c>
      <c r="I12" s="5">
        <v>1</v>
      </c>
      <c r="J12" s="5">
        <v>0</v>
      </c>
      <c r="K12" s="5">
        <v>1</v>
      </c>
      <c r="L12" s="5">
        <v>1</v>
      </c>
      <c r="M12" s="5">
        <v>0</v>
      </c>
      <c r="N12" s="10">
        <f>MAX(SUM(prviKolokvijum[[#This Row],[P1]]:prviKolokvijum[[#This Row],[P10]]),SUM(prviKolokvijum[[#This Row],[P1]]:prviKolokvijum[[#This Row],[P9]]) * 10/9)</f>
        <v>8.8888888888888893</v>
      </c>
    </row>
    <row r="13" spans="1:18" x14ac:dyDescent="0.3">
      <c r="A13" s="2" t="s">
        <v>148</v>
      </c>
      <c r="B13" s="2" t="str">
        <f>"20"&amp;MID(prviKolokvijum[[#This Row],[Email]],3,2)&amp;"/"&amp;MID(prviKolokvijum[[#This Row],[Email]],5,4)</f>
        <v>2019/0559</v>
      </c>
      <c r="C13" s="5" t="str">
        <f>VLOOKUP(prviKolokvijum[[#This Row],[Indeks]],spisakStudenata[],3,FALSE)</f>
        <v>Vojinović Marko</v>
      </c>
      <c r="D13" s="5">
        <v>1</v>
      </c>
      <c r="E13" s="5">
        <v>0</v>
      </c>
      <c r="F13" s="5">
        <v>1</v>
      </c>
      <c r="G13" s="5">
        <v>0</v>
      </c>
      <c r="H13" s="5">
        <v>1</v>
      </c>
      <c r="I13" s="5">
        <v>1</v>
      </c>
      <c r="J13" s="5">
        <v>0</v>
      </c>
      <c r="K13" s="5">
        <v>1</v>
      </c>
      <c r="L13" s="5">
        <v>0.67</v>
      </c>
      <c r="M13" s="5">
        <v>0</v>
      </c>
      <c r="N13" s="10">
        <f>MAX(SUM(prviKolokvijum[[#This Row],[P1]]:prviKolokvijum[[#This Row],[P10]]),SUM(prviKolokvijum[[#This Row],[P1]]:prviKolokvijum[[#This Row],[P9]]) * 10/9)</f>
        <v>6.3000000000000007</v>
      </c>
    </row>
    <row r="14" spans="1:18" x14ac:dyDescent="0.3">
      <c r="A14" s="2" t="s">
        <v>161</v>
      </c>
      <c r="B14" s="2" t="str">
        <f>"20"&amp;MID(prviKolokvijum[[#This Row],[Email]],3,2)&amp;"/"&amp;MID(prviKolokvijum[[#This Row],[Email]],5,4)</f>
        <v>2019/0607</v>
      </c>
      <c r="C14" s="5" t="str">
        <f>VLOOKUP(prviKolokvijum[[#This Row],[Indeks]],spisakStudenata[],3,FALSE)</f>
        <v>Mandušić Danilo</v>
      </c>
      <c r="D14" s="5">
        <v>0</v>
      </c>
      <c r="E14" s="5">
        <v>1</v>
      </c>
      <c r="F14" s="5">
        <v>0.5</v>
      </c>
      <c r="G14" s="5">
        <v>0</v>
      </c>
      <c r="H14" s="5">
        <v>0</v>
      </c>
      <c r="I14" s="5">
        <v>1</v>
      </c>
      <c r="J14" s="5">
        <v>0</v>
      </c>
      <c r="K14" s="5">
        <v>1</v>
      </c>
      <c r="L14" s="5">
        <v>0.33</v>
      </c>
      <c r="M14" s="5">
        <v>0.33</v>
      </c>
      <c r="N14" s="10">
        <f>MAX(SUM(prviKolokvijum[[#This Row],[P1]]:prviKolokvijum[[#This Row],[P10]]),SUM(prviKolokvijum[[#This Row],[P1]]:prviKolokvijum[[#This Row],[P9]]) * 10/9)</f>
        <v>4.2555555555555555</v>
      </c>
    </row>
    <row r="15" spans="1:18" x14ac:dyDescent="0.3">
      <c r="A15" s="2" t="s">
        <v>155</v>
      </c>
      <c r="B15" s="2" t="str">
        <f>"20"&amp;MID(prviKolokvijum[[#This Row],[Email]],3,2)&amp;"/"&amp;MID(prviKolokvijum[[#This Row],[Email]],5,4)</f>
        <v>2019/0649</v>
      </c>
      <c r="C15" s="5" t="str">
        <f>VLOOKUP(prviKolokvijum[[#This Row],[Indeks]],spisakStudenata[],3,FALSE)</f>
        <v>Kurepa Anja</v>
      </c>
      <c r="D15" s="5">
        <v>0</v>
      </c>
      <c r="E15" s="5">
        <v>1</v>
      </c>
      <c r="F15" s="5">
        <v>1</v>
      </c>
      <c r="G15" s="5">
        <v>1</v>
      </c>
      <c r="H15" s="5">
        <v>1</v>
      </c>
      <c r="I15" s="5">
        <v>1</v>
      </c>
      <c r="J15" s="5">
        <v>1</v>
      </c>
      <c r="K15" s="5">
        <v>0</v>
      </c>
      <c r="L15" s="5">
        <v>0.17</v>
      </c>
      <c r="M15" s="5">
        <v>0</v>
      </c>
      <c r="N15" s="10">
        <f>MAX(SUM(prviKolokvijum[[#This Row],[P1]]:prviKolokvijum[[#This Row],[P10]]),SUM(prviKolokvijum[[#This Row],[P1]]:prviKolokvijum[[#This Row],[P9]]) * 10/9)</f>
        <v>6.8555555555555561</v>
      </c>
    </row>
    <row r="16" spans="1:18" x14ac:dyDescent="0.3">
      <c r="A16" s="2" t="s">
        <v>165</v>
      </c>
      <c r="B16" s="2" t="str">
        <f>"20"&amp;MID(prviKolokvijum[[#This Row],[Email]],3,2)&amp;"/"&amp;MID(prviKolokvijum[[#This Row],[Email]],5,4)</f>
        <v>2019/0731</v>
      </c>
      <c r="C16" s="5" t="str">
        <f>VLOOKUP(prviKolokvijum[[#This Row],[Indeks]],spisakStudenata[],3,FALSE)</f>
        <v>Dragutinović Marko</v>
      </c>
      <c r="D16" s="5">
        <v>1</v>
      </c>
      <c r="E16" s="5">
        <v>1</v>
      </c>
      <c r="F16" s="5">
        <v>1</v>
      </c>
      <c r="G16" s="5">
        <v>0</v>
      </c>
      <c r="H16" s="5">
        <v>0</v>
      </c>
      <c r="I16" s="5">
        <v>0.75</v>
      </c>
      <c r="J16" s="5">
        <v>0</v>
      </c>
      <c r="K16" s="5">
        <v>1</v>
      </c>
      <c r="L16" s="5">
        <v>0</v>
      </c>
      <c r="M16" s="5">
        <v>0</v>
      </c>
      <c r="N16" s="10">
        <f>MAX(SUM(prviKolokvijum[[#This Row],[P1]]:prviKolokvijum[[#This Row],[P10]]),SUM(prviKolokvijum[[#This Row],[P1]]:prviKolokvijum[[#This Row],[P9]]) * 10/9)</f>
        <v>5.2777777777777777</v>
      </c>
    </row>
    <row r="17" spans="1:14" x14ac:dyDescent="0.3">
      <c r="A17" s="2" t="s">
        <v>149</v>
      </c>
      <c r="B17" s="2" t="str">
        <f>"20"&amp;MID(prviKolokvijum[[#This Row],[Email]],3,2)&amp;"/"&amp;MID(prviKolokvijum[[#This Row],[Email]],5,4)</f>
        <v>2020/0108</v>
      </c>
      <c r="C17" s="5" t="str">
        <f>VLOOKUP(prviKolokvijum[[#This Row],[Indeks]],spisakStudenata[],3,FALSE)</f>
        <v>Perić Dragan</v>
      </c>
      <c r="D17" s="5">
        <v>1</v>
      </c>
      <c r="E17" s="5">
        <v>1</v>
      </c>
      <c r="F17" s="5">
        <v>1</v>
      </c>
      <c r="G17" s="5">
        <v>1</v>
      </c>
      <c r="H17" s="5">
        <v>1</v>
      </c>
      <c r="I17" s="5">
        <v>1</v>
      </c>
      <c r="J17" s="5">
        <v>1</v>
      </c>
      <c r="K17" s="5">
        <v>1</v>
      </c>
      <c r="L17" s="5">
        <v>1</v>
      </c>
      <c r="M17" s="5">
        <v>0</v>
      </c>
      <c r="N17" s="10">
        <f>MAX(SUM(prviKolokvijum[[#This Row],[P1]]:prviKolokvijum[[#This Row],[P10]]),SUM(prviKolokvijum[[#This Row],[P1]]:prviKolokvijum[[#This Row],[P9]]) * 10/9)</f>
        <v>10</v>
      </c>
    </row>
    <row r="18" spans="1:14" x14ac:dyDescent="0.3">
      <c r="A18" s="2" t="s">
        <v>157</v>
      </c>
      <c r="B18" s="2" t="str">
        <f>"20"&amp;MID(prviKolokvijum[[#This Row],[Email]],3,2)&amp;"/"&amp;MID(prviKolokvijum[[#This Row],[Email]],5,4)</f>
        <v>2020/0248</v>
      </c>
      <c r="C18" s="5" t="str">
        <f>VLOOKUP(prviKolokvijum[[#This Row],[Indeks]],spisakStudenata[],3,FALSE)</f>
        <v>Samardžić Lea</v>
      </c>
      <c r="D18" s="5">
        <v>1</v>
      </c>
      <c r="E18" s="5">
        <v>1</v>
      </c>
      <c r="F18" s="5">
        <v>0.5</v>
      </c>
      <c r="G18" s="5">
        <v>1</v>
      </c>
      <c r="H18" s="5">
        <v>1</v>
      </c>
      <c r="I18" s="5">
        <v>0</v>
      </c>
      <c r="J18" s="5">
        <v>0</v>
      </c>
      <c r="K18" s="5">
        <v>1</v>
      </c>
      <c r="L18" s="5">
        <v>1</v>
      </c>
      <c r="M18" s="5">
        <v>0.67</v>
      </c>
      <c r="N18" s="10">
        <f>MAX(SUM(prviKolokvijum[[#This Row],[P1]]:prviKolokvijum[[#This Row],[P10]]),SUM(prviKolokvijum[[#This Row],[P1]]:prviKolokvijum[[#This Row],[P9]]) * 10/9)</f>
        <v>7.2222222222222223</v>
      </c>
    </row>
    <row r="19" spans="1:14" x14ac:dyDescent="0.3">
      <c r="A19" s="2" t="s">
        <v>158</v>
      </c>
      <c r="B19" s="2" t="str">
        <f>"20"&amp;MID(prviKolokvijum[[#This Row],[Email]],3,2)&amp;"/"&amp;MID(prviKolokvijum[[#This Row],[Email]],5,4)</f>
        <v>2020/0253</v>
      </c>
      <c r="C19" s="5" t="str">
        <f>VLOOKUP(prviKolokvijum[[#This Row],[Indeks]],spisakStudenata[],3,FALSE)</f>
        <v>Majstorović Ljubica</v>
      </c>
      <c r="D19" s="5">
        <v>0</v>
      </c>
      <c r="E19" s="5">
        <v>1</v>
      </c>
      <c r="F19" s="5">
        <v>1</v>
      </c>
      <c r="G19" s="5">
        <v>1</v>
      </c>
      <c r="H19" s="5">
        <v>1</v>
      </c>
      <c r="I19" s="5">
        <v>1</v>
      </c>
      <c r="J19" s="5">
        <v>1</v>
      </c>
      <c r="K19" s="5">
        <v>1</v>
      </c>
      <c r="L19" s="5">
        <v>1</v>
      </c>
      <c r="M19" s="5">
        <v>0</v>
      </c>
      <c r="N19" s="10">
        <f>MAX(SUM(prviKolokvijum[[#This Row],[P1]]:prviKolokvijum[[#This Row],[P10]]),SUM(prviKolokvijum[[#This Row],[P1]]:prviKolokvijum[[#This Row],[P9]]) * 10/9)</f>
        <v>8.8888888888888893</v>
      </c>
    </row>
    <row r="20" spans="1:14" x14ac:dyDescent="0.3">
      <c r="A20" s="2" t="s">
        <v>150</v>
      </c>
      <c r="B20" s="2" t="str">
        <f>"20"&amp;MID(prviKolokvijum[[#This Row],[Email]],3,2)&amp;"/"&amp;MID(prviKolokvijum[[#This Row],[Email]],5,4)</f>
        <v>2020/0327</v>
      </c>
      <c r="C20" s="5" t="str">
        <f>VLOOKUP(prviKolokvijum[[#This Row],[Indeks]],spisakStudenata[],3,FALSE)</f>
        <v>Jovanović Milena</v>
      </c>
      <c r="D20" s="5">
        <v>1</v>
      </c>
      <c r="E20" s="5">
        <v>1</v>
      </c>
      <c r="F20" s="5">
        <v>1</v>
      </c>
      <c r="G20" s="5">
        <v>0</v>
      </c>
      <c r="H20" s="5">
        <v>1</v>
      </c>
      <c r="I20" s="5">
        <v>1</v>
      </c>
      <c r="J20" s="5">
        <v>0</v>
      </c>
      <c r="K20" s="5">
        <v>1</v>
      </c>
      <c r="L20" s="5">
        <v>0</v>
      </c>
      <c r="M20" s="5">
        <v>0</v>
      </c>
      <c r="N20" s="10">
        <f>MAX(SUM(prviKolokvijum[[#This Row],[P1]]:prviKolokvijum[[#This Row],[P10]]),SUM(prviKolokvijum[[#This Row],[P1]]:prviKolokvijum[[#This Row],[P9]]) * 10/9)</f>
        <v>6.666666666666667</v>
      </c>
    </row>
    <row r="21" spans="1:14" x14ac:dyDescent="0.3">
      <c r="A21" s="2" t="s">
        <v>156</v>
      </c>
      <c r="B21" s="2" t="str">
        <f>"20"&amp;MID(prviKolokvijum[[#This Row],[Email]],3,2)&amp;"/"&amp;MID(prviKolokvijum[[#This Row],[Email]],5,4)</f>
        <v>2020/0459</v>
      </c>
      <c r="C21" s="5" t="str">
        <f>VLOOKUP(prviKolokvijum[[#This Row],[Indeks]],spisakStudenata[],3,FALSE)</f>
        <v>Bojović Ana</v>
      </c>
      <c r="D21" s="5">
        <v>1</v>
      </c>
      <c r="E21" s="5">
        <v>0</v>
      </c>
      <c r="F21" s="5">
        <v>1</v>
      </c>
      <c r="G21" s="5">
        <v>1</v>
      </c>
      <c r="H21" s="5">
        <v>1</v>
      </c>
      <c r="I21" s="5">
        <v>1</v>
      </c>
      <c r="J21" s="5">
        <v>1</v>
      </c>
      <c r="K21" s="5">
        <v>1</v>
      </c>
      <c r="L21" s="5">
        <v>0</v>
      </c>
      <c r="M21" s="5">
        <v>0.33</v>
      </c>
      <c r="N21" s="10">
        <f>MAX(SUM(prviKolokvijum[[#This Row],[P1]]:prviKolokvijum[[#This Row],[P10]]),SUM(prviKolokvijum[[#This Row],[P1]]:prviKolokvijum[[#This Row],[P9]]) * 10/9)</f>
        <v>7.7777777777777777</v>
      </c>
    </row>
    <row r="22" spans="1:14" x14ac:dyDescent="0.3">
      <c r="A22" s="2" t="s">
        <v>151</v>
      </c>
      <c r="B22" s="2" t="str">
        <f>"20"&amp;MID(prviKolokvijum[[#This Row],[Email]],3,2)&amp;"/"&amp;MID(prviKolokvijum[[#This Row],[Email]],5,4)</f>
        <v>2020/0627</v>
      </c>
      <c r="C22" s="5" t="str">
        <f>VLOOKUP(prviKolokvijum[[#This Row],[Indeks]],spisakStudenata[],3,FALSE)</f>
        <v>Đurić Anja</v>
      </c>
      <c r="D22" s="5">
        <v>0</v>
      </c>
      <c r="E22" s="5">
        <v>1</v>
      </c>
      <c r="F22" s="5">
        <v>1</v>
      </c>
      <c r="G22" s="5">
        <v>0</v>
      </c>
      <c r="H22" s="5">
        <v>1</v>
      </c>
      <c r="I22" s="5">
        <v>0.75</v>
      </c>
      <c r="J22" s="5">
        <v>0</v>
      </c>
      <c r="K22" s="5">
        <v>0</v>
      </c>
      <c r="L22" s="5">
        <v>0</v>
      </c>
      <c r="M22" s="5">
        <v>0</v>
      </c>
      <c r="N22" s="10">
        <f>MAX(SUM(prviKolokvijum[[#This Row],[P1]]:prviKolokvijum[[#This Row],[P10]]),SUM(prviKolokvijum[[#This Row],[P1]]:prviKolokvijum[[#This Row],[P9]]) * 10/9)</f>
        <v>4.166666666666667</v>
      </c>
    </row>
    <row r="23" spans="1:14" x14ac:dyDescent="0.3">
      <c r="A23" s="2"/>
      <c r="B23" s="2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10"/>
    </row>
    <row r="24" spans="1:14" x14ac:dyDescent="0.3">
      <c r="A24" s="2"/>
      <c r="B24" s="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10"/>
    </row>
    <row r="25" spans="1:14" x14ac:dyDescent="0.3">
      <c r="A25" s="2"/>
      <c r="B25" s="2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10"/>
    </row>
    <row r="26" spans="1:14" x14ac:dyDescent="0.3">
      <c r="A26" s="2"/>
      <c r="B26" s="2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10"/>
    </row>
    <row r="27" spans="1:14" x14ac:dyDescent="0.3">
      <c r="A27" s="2"/>
      <c r="B27" s="2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10"/>
    </row>
    <row r="28" spans="1:14" x14ac:dyDescent="0.3">
      <c r="A28" s="2"/>
      <c r="B28" s="2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0"/>
    </row>
    <row r="29" spans="1:14" x14ac:dyDescent="0.3">
      <c r="A29" s="2"/>
      <c r="B29" s="2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10"/>
    </row>
    <row r="30" spans="1:14" x14ac:dyDescent="0.3">
      <c r="A30" s="2"/>
      <c r="B30" s="2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10"/>
    </row>
    <row r="31" spans="1:14" x14ac:dyDescent="0.3">
      <c r="A31" s="2"/>
      <c r="B31" s="2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10"/>
    </row>
    <row r="32" spans="1:14" x14ac:dyDescent="0.3">
      <c r="A32" s="2"/>
      <c r="B32" s="2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10"/>
    </row>
    <row r="33" spans="1:14" x14ac:dyDescent="0.3">
      <c r="A33" s="2"/>
      <c r="B33" s="2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10"/>
    </row>
    <row r="34" spans="1:14" x14ac:dyDescent="0.3">
      <c r="A34" s="2"/>
      <c r="B34" s="2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10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&amp;LRačunarska grafika&amp;CRezultati prvog kolokvijuma održanog 29.03.2023.&amp;R2022/2023</oddHeader>
  </headerFooter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9BEBB-99AB-40C1-8631-01F062FACD51}">
  <dimension ref="A1:S11"/>
  <sheetViews>
    <sheetView zoomScaleNormal="100" workbookViewId="0">
      <selection activeCell="F17" sqref="F17"/>
    </sheetView>
  </sheetViews>
  <sheetFormatPr defaultRowHeight="15.6" x14ac:dyDescent="0.3"/>
  <cols>
    <col min="1" max="1" width="11.33203125" style="2" bestFit="1" customWidth="1"/>
    <col min="2" max="2" width="19.44140625" style="2" bestFit="1" customWidth="1"/>
    <col min="3" max="4" width="11.5546875" style="2" bestFit="1" customWidth="1"/>
    <col min="5" max="5" width="10.44140625" style="2" bestFit="1" customWidth="1"/>
    <col min="6" max="11" width="11.5546875" style="2" bestFit="1" customWidth="1"/>
    <col min="12" max="14" width="12.6640625" style="2" bestFit="1" customWidth="1"/>
    <col min="15" max="15" width="7.21875" style="2" bestFit="1" customWidth="1"/>
    <col min="16" max="16" width="8.88671875" style="2"/>
    <col min="17" max="17" width="11.21875" style="2" bestFit="1" customWidth="1"/>
    <col min="18" max="18" width="9" style="2" bestFit="1" customWidth="1"/>
    <col min="19" max="19" width="13.6640625" style="2" bestFit="1" customWidth="1"/>
    <col min="20" max="16384" width="8.88671875" style="2"/>
  </cols>
  <sheetData>
    <row r="1" spans="1:19" x14ac:dyDescent="0.3">
      <c r="A1" s="2" t="s">
        <v>0</v>
      </c>
      <c r="B1" s="2" t="s">
        <v>49</v>
      </c>
      <c r="C1" s="2" t="s">
        <v>30</v>
      </c>
      <c r="D1" s="2" t="s">
        <v>28</v>
      </c>
      <c r="E1" s="2" t="s">
        <v>86</v>
      </c>
      <c r="F1" s="2" t="s">
        <v>29</v>
      </c>
      <c r="G1" s="2" t="s">
        <v>166</v>
      </c>
      <c r="H1" s="2" t="s">
        <v>167</v>
      </c>
      <c r="I1" s="2" t="s">
        <v>168</v>
      </c>
      <c r="J1" s="2" t="s">
        <v>169</v>
      </c>
      <c r="K1" s="2" t="s">
        <v>170</v>
      </c>
      <c r="L1" s="2" t="s">
        <v>85</v>
      </c>
      <c r="M1" s="2" t="s">
        <v>171</v>
      </c>
      <c r="N1" s="2" t="s">
        <v>172</v>
      </c>
      <c r="O1" s="2" t="s">
        <v>33</v>
      </c>
      <c r="Q1" s="2" t="s">
        <v>27</v>
      </c>
      <c r="R1" s="2" t="s">
        <v>26</v>
      </c>
      <c r="S1" s="2" t="s">
        <v>47</v>
      </c>
    </row>
    <row r="2" spans="1:19" ht="15" customHeight="1" x14ac:dyDescent="0.3">
      <c r="A2" s="2" t="s">
        <v>72</v>
      </c>
      <c r="B2" s="2" t="str">
        <f>VLOOKUP(drugaLaboratorijskaVezba[[#This Row],[Indeks]],spisakStudenata[],3,FALSE)</f>
        <v>Obradović Marko</v>
      </c>
      <c r="C2" s="2">
        <v>10</v>
      </c>
      <c r="D2" s="2">
        <v>10</v>
      </c>
      <c r="E2" s="2">
        <v>5</v>
      </c>
      <c r="F2" s="2">
        <v>10</v>
      </c>
      <c r="G2" s="2">
        <v>10</v>
      </c>
      <c r="H2" s="2">
        <v>20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f>MIN(SUM(drugaLaboratorijskaVezba[[#This Row],[T1 (10)]]:drugaLaboratorijskaVezba[[#This Row],[T11 (10)]]),100)</f>
        <v>65</v>
      </c>
      <c r="Q2" s="2">
        <v>5</v>
      </c>
      <c r="R2" s="2">
        <f>COUNTIF(drugaLaboratorijskaVezba[L2],"&lt;=" &amp; (Table12[[#This Row],[Ocena]]*10))</f>
        <v>4</v>
      </c>
      <c r="S2" s="9">
        <f>Table12[[#This Row],[Broj]]/SUM(Table12[Broj])</f>
        <v>0.4</v>
      </c>
    </row>
    <row r="3" spans="1:19" x14ac:dyDescent="0.3">
      <c r="A3" s="2" t="s">
        <v>64</v>
      </c>
      <c r="B3" s="2" t="str">
        <f>VLOOKUP(drugaLaboratorijskaVezba[[#This Row],[Indeks]],spisakStudenata[],3,FALSE)</f>
        <v>Popović Dimitrije</v>
      </c>
      <c r="C3" s="2">
        <v>10</v>
      </c>
      <c r="D3" s="2">
        <v>10</v>
      </c>
      <c r="E3" s="2">
        <v>5</v>
      </c>
      <c r="F3" s="2">
        <v>10</v>
      </c>
      <c r="G3" s="2">
        <v>0</v>
      </c>
      <c r="H3" s="2">
        <v>10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f>MIN(SUM(drugaLaboratorijskaVezba[[#This Row],[T1 (10)]]:drugaLaboratorijskaVezba[[#This Row],[T11 (10)]]),100)</f>
        <v>45</v>
      </c>
      <c r="Q3" s="2">
        <v>6</v>
      </c>
      <c r="R3" s="2">
        <f>COUNTIFS(drugaLaboratorijskaVezba[L2],"&lt;=" &amp; Table12[[#This Row],[Ocena]] * 10,drugaLaboratorijskaVezba[L2],"&gt;" &amp; ((Table12[[#This Row],[Ocena]] - 1) * 10))</f>
        <v>3</v>
      </c>
      <c r="S3" s="9">
        <f>Table12[[#This Row],[Broj]]/SUM(Table12[Broj])</f>
        <v>0.3</v>
      </c>
    </row>
    <row r="4" spans="1:19" x14ac:dyDescent="0.3">
      <c r="A4" s="2" t="s">
        <v>66</v>
      </c>
      <c r="B4" s="2" t="str">
        <f>VLOOKUP(drugaLaboratorijskaVezba[[#This Row],[Indeks]],spisakStudenata[],3,FALSE)</f>
        <v>Milošević Isidora</v>
      </c>
      <c r="C4" s="2">
        <v>10</v>
      </c>
      <c r="D4" s="2">
        <v>10</v>
      </c>
      <c r="E4" s="2">
        <v>5</v>
      </c>
      <c r="F4" s="2">
        <v>10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f>MIN(SUM(drugaLaboratorijskaVezba[[#This Row],[T1 (10)]]:drugaLaboratorijskaVezba[[#This Row],[T11 (10)]]),100)</f>
        <v>35</v>
      </c>
      <c r="Q4" s="2">
        <v>7</v>
      </c>
      <c r="R4" s="2">
        <f>COUNTIFS(drugaLaboratorijskaVezba[L2],"&lt;=" &amp; Table12[[#This Row],[Ocena]] * 10,drugaLaboratorijskaVezba[L2],"&gt;" &amp; ((Table12[[#This Row],[Ocena]] - 1) * 10))</f>
        <v>2</v>
      </c>
      <c r="S4" s="9">
        <f>Table12[[#This Row],[Broj]]/SUM(Table12[Broj])</f>
        <v>0.2</v>
      </c>
    </row>
    <row r="5" spans="1:19" x14ac:dyDescent="0.3">
      <c r="A5" s="2" t="s">
        <v>94</v>
      </c>
      <c r="B5" s="2" t="str">
        <f>VLOOKUP(drugaLaboratorijskaVezba[[#This Row],[Indeks]],spisakStudenata[],3,FALSE)</f>
        <v>Stojiljković Aleksa</v>
      </c>
      <c r="C5" s="2">
        <v>10</v>
      </c>
      <c r="D5" s="2">
        <v>10</v>
      </c>
      <c r="E5" s="2">
        <v>5</v>
      </c>
      <c r="F5" s="2">
        <v>10</v>
      </c>
      <c r="G5" s="2">
        <v>10</v>
      </c>
      <c r="H5" s="2">
        <v>20</v>
      </c>
      <c r="I5" s="2">
        <v>15</v>
      </c>
      <c r="J5" s="2">
        <v>20</v>
      </c>
      <c r="K5" s="2">
        <v>10</v>
      </c>
      <c r="L5" s="2">
        <v>0</v>
      </c>
      <c r="M5" s="2">
        <v>0</v>
      </c>
      <c r="N5" s="2">
        <v>0</v>
      </c>
      <c r="O5" s="2">
        <f>MIN(SUM(drugaLaboratorijskaVezba[[#This Row],[T1 (10)]]:drugaLaboratorijskaVezba[[#This Row],[T11 (10)]]),100)</f>
        <v>100</v>
      </c>
      <c r="Q5" s="2">
        <v>8</v>
      </c>
      <c r="R5" s="2">
        <f>COUNTIFS(drugaLaboratorijskaVezba[L2],"&lt;=" &amp; Table12[[#This Row],[Ocena]] * 10,drugaLaboratorijskaVezba[L2],"&gt;" &amp; ((Table12[[#This Row],[Ocena]] - 1) * 10))</f>
        <v>0</v>
      </c>
      <c r="S5" s="9">
        <f>Table12[[#This Row],[Broj]]/SUM(Table12[Broj])</f>
        <v>0</v>
      </c>
    </row>
    <row r="6" spans="1:19" x14ac:dyDescent="0.3">
      <c r="A6" s="2" t="s">
        <v>108</v>
      </c>
      <c r="B6" s="2" t="str">
        <f>VLOOKUP(drugaLaboratorijskaVezba[[#This Row],[Indeks]],spisakStudenata[],3,FALSE)</f>
        <v>Stefanović Marija</v>
      </c>
      <c r="C6" s="2">
        <v>10</v>
      </c>
      <c r="D6" s="2">
        <v>10</v>
      </c>
      <c r="E6" s="2">
        <v>0</v>
      </c>
      <c r="F6" s="2">
        <v>10</v>
      </c>
      <c r="G6" s="2">
        <v>10</v>
      </c>
      <c r="H6" s="2">
        <v>10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f>MIN(SUM(drugaLaboratorijskaVezba[[#This Row],[T1 (10)]]:drugaLaboratorijskaVezba[[#This Row],[T11 (10)]]),100)</f>
        <v>50</v>
      </c>
      <c r="Q6" s="2">
        <v>9</v>
      </c>
      <c r="R6" s="2">
        <f>COUNTIFS(drugaLaboratorijskaVezba[L2],"&lt;=" &amp; Table12[[#This Row],[Ocena]] * 10,drugaLaboratorijskaVezba[L2],"&gt;" &amp; ((Table12[[#This Row],[Ocena]] - 1) * 10))</f>
        <v>0</v>
      </c>
      <c r="S6" s="9">
        <f>Table12[[#This Row],[Broj]]/SUM(Table12[Broj])</f>
        <v>0</v>
      </c>
    </row>
    <row r="7" spans="1:19" x14ac:dyDescent="0.3">
      <c r="A7" s="2" t="s">
        <v>104</v>
      </c>
      <c r="B7" s="2" t="str">
        <f>VLOOKUP(drugaLaboratorijskaVezba[[#This Row],[Indeks]],spisakStudenata[],3,FALSE)</f>
        <v>Kurepa Anja</v>
      </c>
      <c r="C7" s="2">
        <v>10</v>
      </c>
      <c r="D7" s="2">
        <v>10</v>
      </c>
      <c r="E7" s="2">
        <v>5</v>
      </c>
      <c r="F7" s="2">
        <v>10</v>
      </c>
      <c r="G7" s="2">
        <v>10</v>
      </c>
      <c r="H7" s="2">
        <v>10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10</v>
      </c>
      <c r="O7" s="2">
        <f>MIN(SUM(drugaLaboratorijskaVezba[[#This Row],[T1 (10)]]:drugaLaboratorijskaVezba[[#This Row],[T11 (10)]]),100)</f>
        <v>55</v>
      </c>
      <c r="Q7" s="2">
        <v>10</v>
      </c>
      <c r="R7" s="2">
        <f>COUNTIFS(drugaLaboratorijskaVezba[L2],"&lt;=" &amp; Table12[[#This Row],[Ocena]] * 10,drugaLaboratorijskaVezba[L2],"&gt;" &amp; ((Table12[[#This Row],[Ocena]] - 1) * 10))</f>
        <v>1</v>
      </c>
      <c r="S7" s="9">
        <f>Table12[[#This Row],[Broj]]/SUM(Table12[Broj])</f>
        <v>0.1</v>
      </c>
    </row>
    <row r="8" spans="1:19" x14ac:dyDescent="0.3">
      <c r="A8" s="2" t="s">
        <v>112</v>
      </c>
      <c r="B8" s="2" t="str">
        <f>VLOOKUP(drugaLaboratorijskaVezba[[#This Row],[Indeks]],spisakStudenata[],3,FALSE)</f>
        <v>Dragutinović Marko</v>
      </c>
      <c r="C8" s="2">
        <v>10</v>
      </c>
      <c r="D8" s="2">
        <v>10</v>
      </c>
      <c r="E8" s="2">
        <v>5</v>
      </c>
      <c r="F8" s="2">
        <v>10</v>
      </c>
      <c r="G8" s="2">
        <v>10</v>
      </c>
      <c r="H8" s="2">
        <v>10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f>MIN(SUM(drugaLaboratorijskaVezba[[#This Row],[T1 (10)]]:drugaLaboratorijskaVezba[[#This Row],[T11 (10)]]),100)</f>
        <v>55</v>
      </c>
    </row>
    <row r="9" spans="1:19" x14ac:dyDescent="0.3">
      <c r="A9" s="2" t="s">
        <v>116</v>
      </c>
      <c r="B9" s="2" t="str">
        <f>VLOOKUP(drugaLaboratorijskaVezba[[#This Row],[Indeks]],spisakStudenata[],3,FALSE)</f>
        <v>Perić Dragan</v>
      </c>
      <c r="C9" s="2">
        <v>10</v>
      </c>
      <c r="D9" s="2">
        <v>10</v>
      </c>
      <c r="E9" s="2">
        <v>5</v>
      </c>
      <c r="F9" s="2">
        <v>10</v>
      </c>
      <c r="G9" s="2">
        <v>10</v>
      </c>
      <c r="H9" s="2">
        <v>10</v>
      </c>
      <c r="I9" s="2">
        <v>0</v>
      </c>
      <c r="J9" s="2">
        <v>10</v>
      </c>
      <c r="K9" s="2">
        <v>0</v>
      </c>
      <c r="L9" s="2">
        <v>0</v>
      </c>
      <c r="M9" s="2">
        <v>0</v>
      </c>
      <c r="N9" s="2">
        <v>10</v>
      </c>
      <c r="O9" s="2">
        <f>MIN(SUM(drugaLaboratorijskaVezba[[#This Row],[T1 (10)]]:drugaLaboratorijskaVezba[[#This Row],[T11 (10)]]),100)</f>
        <v>65</v>
      </c>
    </row>
    <row r="10" spans="1:19" x14ac:dyDescent="0.3">
      <c r="A10" s="2" t="s">
        <v>118</v>
      </c>
      <c r="B10" s="2" t="str">
        <f>VLOOKUP(drugaLaboratorijskaVezba[[#This Row],[Indeks]],spisakStudenata[],3,FALSE)</f>
        <v>Samardžić Lea</v>
      </c>
      <c r="C10" s="2">
        <v>10</v>
      </c>
      <c r="D10" s="2">
        <v>10</v>
      </c>
      <c r="E10" s="2">
        <v>5</v>
      </c>
      <c r="F10" s="2">
        <v>10</v>
      </c>
      <c r="G10" s="2">
        <v>5</v>
      </c>
      <c r="H10" s="2">
        <v>10</v>
      </c>
      <c r="I10" s="2">
        <v>5</v>
      </c>
      <c r="J10" s="2">
        <v>0</v>
      </c>
      <c r="K10" s="2">
        <v>5</v>
      </c>
      <c r="L10" s="2">
        <v>0</v>
      </c>
      <c r="M10" s="2">
        <v>0</v>
      </c>
      <c r="N10" s="2">
        <v>5</v>
      </c>
      <c r="O10" s="2">
        <f>MIN(SUM(drugaLaboratorijskaVezba[[#This Row],[T1 (10)]]:drugaLaboratorijskaVezba[[#This Row],[T11 (10)]]),100)</f>
        <v>60</v>
      </c>
    </row>
    <row r="11" spans="1:19" x14ac:dyDescent="0.3">
      <c r="A11" s="2" t="s">
        <v>122</v>
      </c>
      <c r="B11" s="2" t="str">
        <f>VLOOKUP(drugaLaboratorijskaVezba[[#This Row],[Indeks]],spisakStudenata[],3,FALSE)</f>
        <v>Jovanović Milena</v>
      </c>
      <c r="C11" s="2">
        <v>10</v>
      </c>
      <c r="D11" s="2">
        <v>5</v>
      </c>
      <c r="E11" s="2">
        <v>5</v>
      </c>
      <c r="F11" s="2">
        <v>10</v>
      </c>
      <c r="G11" s="2">
        <v>10</v>
      </c>
      <c r="H11" s="2">
        <v>10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f>MIN(SUM(drugaLaboratorijskaVezba[[#This Row],[T1 (10)]]:drugaLaboratorijskaVezba[[#This Row],[T11 (10)]]),100)</f>
        <v>50</v>
      </c>
    </row>
  </sheetData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&amp;LRačunarska grafika&amp;CRezultati druge laboratorijske vežbe održane 24.03.2023.&amp;R2022/2023</oddHeader>
  </headerFooter>
  <drawing r:id="rId2"/>
  <tableParts count="2"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1D4EB-E181-4E9A-ACD0-6D4388191E96}">
  <dimension ref="A1:R31"/>
  <sheetViews>
    <sheetView zoomScaleNormal="100" workbookViewId="0">
      <selection activeCell="N4" sqref="N4"/>
    </sheetView>
  </sheetViews>
  <sheetFormatPr defaultRowHeight="15.6" x14ac:dyDescent="0.3"/>
  <cols>
    <col min="1" max="1" width="32.33203125" style="2" bestFit="1" customWidth="1"/>
    <col min="2" max="2" width="11.5546875" style="2" bestFit="1" customWidth="1"/>
    <col min="3" max="3" width="21.77734375" style="2" bestFit="1" customWidth="1"/>
    <col min="4" max="12" width="7.77734375" style="2" bestFit="1" customWidth="1"/>
    <col min="13" max="13" width="8.88671875" style="2" bestFit="1" customWidth="1"/>
    <col min="14" max="14" width="12.88671875" style="2" bestFit="1" customWidth="1"/>
    <col min="15" max="15" width="8.88671875" style="2"/>
    <col min="16" max="16" width="11.33203125" style="2" bestFit="1" customWidth="1"/>
    <col min="17" max="17" width="9.21875" style="2" bestFit="1" customWidth="1"/>
    <col min="18" max="18" width="14.5546875" style="2" bestFit="1" customWidth="1"/>
    <col min="19" max="16384" width="8.88671875" style="2"/>
  </cols>
  <sheetData>
    <row r="1" spans="1:18" x14ac:dyDescent="0.3">
      <c r="A1" s="2" t="s">
        <v>35</v>
      </c>
      <c r="B1" s="2" t="s">
        <v>0</v>
      </c>
      <c r="C1" s="2" t="s">
        <v>1</v>
      </c>
      <c r="D1" s="2" t="s">
        <v>16</v>
      </c>
      <c r="E1" s="2" t="s">
        <v>17</v>
      </c>
      <c r="F1" s="2" t="s">
        <v>18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36</v>
      </c>
      <c r="P1" s="2" t="s">
        <v>27</v>
      </c>
      <c r="Q1" s="2" t="s">
        <v>26</v>
      </c>
      <c r="R1" s="2" t="s">
        <v>48</v>
      </c>
    </row>
    <row r="2" spans="1:18" x14ac:dyDescent="0.3">
      <c r="A2" s="2" t="s">
        <v>74</v>
      </c>
      <c r="B2" s="2" t="str">
        <f>"20"&amp;MID(drugiKolokvijum[[#This Row],[Email]],3,2)&amp;"/"&amp;MID(drugiKolokvijum[[#This Row],[Email]],5,4)</f>
        <v>2016/0270</v>
      </c>
      <c r="C2" s="5" t="str">
        <f>VLOOKUP(drugiKolokvijum[[#This Row],[Indeks]],spisakStudenata[],3,FALSE)</f>
        <v>Janevski Ivan</v>
      </c>
      <c r="D2" s="2">
        <v>0.5</v>
      </c>
      <c r="E2" s="2">
        <v>1</v>
      </c>
      <c r="F2" s="2">
        <v>0</v>
      </c>
      <c r="G2" s="2">
        <v>1</v>
      </c>
      <c r="H2" s="2">
        <v>0</v>
      </c>
      <c r="I2" s="2">
        <v>0.33</v>
      </c>
      <c r="J2" s="2">
        <v>0.14000000000000001</v>
      </c>
      <c r="K2" s="2">
        <v>0</v>
      </c>
      <c r="L2" s="2">
        <v>0</v>
      </c>
      <c r="M2" s="2">
        <v>0</v>
      </c>
      <c r="N2" s="2">
        <f>SUM(drugiKolokvijum[[#This Row],[P1]]:drugiKolokvijum[[#This Row],[P10]])</f>
        <v>2.97</v>
      </c>
      <c r="P2" s="2">
        <v>5</v>
      </c>
      <c r="Q2" s="2">
        <f>COUNTIF(drugiKolokvijum[Ukupno],"&lt;="&amp;P2)</f>
        <v>10</v>
      </c>
      <c r="R2" s="9">
        <f>Table36[[#This Row],[Broj]]/SUM(Table36[Broj])</f>
        <v>0.625</v>
      </c>
    </row>
    <row r="3" spans="1:18" x14ac:dyDescent="0.3">
      <c r="A3" s="2" t="s">
        <v>173</v>
      </c>
      <c r="B3" s="2" t="str">
        <f>"20"&amp;MID(drugiKolokvijum[[#This Row],[Email]],3,2)&amp;"/"&amp;MID(drugiKolokvijum[[#This Row],[Email]],5,4)</f>
        <v>2017/0140</v>
      </c>
      <c r="C3" s="5" t="str">
        <f>VLOOKUP(drugiKolokvijum[[#This Row],[Indeks]],spisakStudenata[],3,FALSE)</f>
        <v>Radulović Vuk</v>
      </c>
      <c r="D3" s="2">
        <v>0</v>
      </c>
      <c r="E3" s="2">
        <v>0</v>
      </c>
      <c r="F3" s="2">
        <v>1</v>
      </c>
      <c r="G3" s="2">
        <v>0</v>
      </c>
      <c r="H3" s="2">
        <v>1</v>
      </c>
      <c r="I3" s="2">
        <v>0.33</v>
      </c>
      <c r="J3" s="2">
        <v>1</v>
      </c>
      <c r="K3" s="2">
        <v>1</v>
      </c>
      <c r="L3" s="2">
        <v>0</v>
      </c>
      <c r="M3" s="2">
        <v>1</v>
      </c>
      <c r="N3" s="2">
        <f>SUM(drugiKolokvijum[[#This Row],[P1]]:drugiKolokvijum[[#This Row],[P10]])</f>
        <v>5.33</v>
      </c>
      <c r="P3" s="2">
        <v>6</v>
      </c>
      <c r="Q3" s="2">
        <f>COUNTIFS(drugiKolokvijum[Ukupno],"&lt;="&amp;P3,drugiKolokvijum[Ukupno],"&gt;"&amp;P2)</f>
        <v>3</v>
      </c>
      <c r="R3" s="9">
        <f>Table36[[#This Row],[Broj]]/SUM(Table36[Broj])</f>
        <v>0.1875</v>
      </c>
    </row>
    <row r="4" spans="1:18" x14ac:dyDescent="0.3">
      <c r="A4" s="2" t="s">
        <v>163</v>
      </c>
      <c r="B4" s="2" t="str">
        <f>"20"&amp;MID(drugiKolokvijum[[#This Row],[Email]],3,2)&amp;"/"&amp;MID(drugiKolokvijum[[#This Row],[Email]],5,4)</f>
        <v>2017/0262</v>
      </c>
      <c r="C4" s="5" t="str">
        <f>VLOOKUP(drugiKolokvijum[[#This Row],[Indeks]],spisakStudenata[],3,FALSE)</f>
        <v>Adamović Aleksa</v>
      </c>
      <c r="D4" s="2">
        <v>0</v>
      </c>
      <c r="E4" s="2">
        <v>1</v>
      </c>
      <c r="F4" s="2">
        <v>0</v>
      </c>
      <c r="G4" s="2">
        <v>0</v>
      </c>
      <c r="H4" s="2">
        <v>0</v>
      </c>
      <c r="I4" s="2">
        <v>0</v>
      </c>
      <c r="J4" s="2">
        <v>0.86</v>
      </c>
      <c r="K4" s="2">
        <v>0.25</v>
      </c>
      <c r="L4" s="2">
        <v>0</v>
      </c>
      <c r="M4" s="2">
        <v>0</v>
      </c>
      <c r="N4" s="2">
        <f>SUM(drugiKolokvijum[[#This Row],[P1]]:drugiKolokvijum[[#This Row],[P10]])</f>
        <v>2.11</v>
      </c>
      <c r="P4" s="2">
        <v>7</v>
      </c>
      <c r="Q4" s="2">
        <f>COUNTIFS(drugiKolokvijum[Ukupno],"&lt;="&amp;P4,drugiKolokvijum[Ukupno],"&gt;"&amp;P3)</f>
        <v>0</v>
      </c>
      <c r="R4" s="9">
        <f>Table36[[#This Row],[Broj]]/SUM(Table36[Broj])</f>
        <v>0</v>
      </c>
    </row>
    <row r="5" spans="1:18" x14ac:dyDescent="0.3">
      <c r="A5" s="2" t="s">
        <v>152</v>
      </c>
      <c r="B5" s="2" t="str">
        <f>"20"&amp;MID(drugiKolokvijum[[#This Row],[Email]],3,2)&amp;"/"&amp;MID(drugiKolokvijum[[#This Row],[Email]],5,4)</f>
        <v>2018/0418</v>
      </c>
      <c r="C5" s="5" t="str">
        <f>VLOOKUP(drugiKolokvijum[[#This Row],[Indeks]],spisakStudenata[],3,FALSE)</f>
        <v>Popović Dimitrije</v>
      </c>
      <c r="D5" s="2">
        <v>0</v>
      </c>
      <c r="E5" s="2">
        <v>0.75</v>
      </c>
      <c r="F5" s="2">
        <v>0</v>
      </c>
      <c r="G5" s="2">
        <v>0</v>
      </c>
      <c r="H5" s="2">
        <v>0</v>
      </c>
      <c r="I5" s="2">
        <v>0</v>
      </c>
      <c r="J5" s="2">
        <v>0.14000000000000001</v>
      </c>
      <c r="K5" s="2">
        <v>0</v>
      </c>
      <c r="L5" s="2">
        <v>0</v>
      </c>
      <c r="M5" s="2">
        <v>0.33</v>
      </c>
      <c r="N5" s="2">
        <f>SUM(drugiKolokvijum[[#This Row],[P1]]:drugiKolokvijum[[#This Row],[P10]])</f>
        <v>1.22</v>
      </c>
      <c r="P5" s="2">
        <v>8</v>
      </c>
      <c r="Q5" s="2">
        <f>COUNTIFS(drugiKolokvijum[Ukupno],"&lt;="&amp;P5,drugiKolokvijum[Ukupno],"&gt;"&amp;P4)</f>
        <v>3</v>
      </c>
      <c r="R5" s="9">
        <f>Table36[[#This Row],[Broj]]/SUM(Table36[Broj])</f>
        <v>0.1875</v>
      </c>
    </row>
    <row r="6" spans="1:18" x14ac:dyDescent="0.3">
      <c r="A6" s="2" t="s">
        <v>153</v>
      </c>
      <c r="B6" s="2" t="str">
        <f>"20"&amp;MID(drugiKolokvijum[[#This Row],[Email]],3,2)&amp;"/"&amp;MID(drugiKolokvijum[[#This Row],[Email]],5,4)</f>
        <v>2019/0068</v>
      </c>
      <c r="C6" s="5" t="str">
        <f>VLOOKUP(drugiKolokvijum[[#This Row],[Indeks]],spisakStudenata[],3,FALSE)</f>
        <v>Stefanović Marija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1</v>
      </c>
      <c r="J6" s="2">
        <v>1</v>
      </c>
      <c r="K6" s="2">
        <v>0.25</v>
      </c>
      <c r="L6" s="2">
        <v>1</v>
      </c>
      <c r="M6" s="2">
        <v>0</v>
      </c>
      <c r="N6" s="2">
        <f>SUM(drugiKolokvijum[[#This Row],[P1]]:drugiKolokvijum[[#This Row],[P10]])</f>
        <v>3.25</v>
      </c>
      <c r="P6" s="2">
        <v>9</v>
      </c>
      <c r="Q6" s="2">
        <f>COUNTIFS(drugiKolokvijum[Ukupno],"&lt;="&amp;P6,drugiKolokvijum[Ukupno],"&gt;"&amp;P5)</f>
        <v>0</v>
      </c>
      <c r="R6" s="9">
        <f>Table36[[#This Row],[Broj]]/SUM(Table36[Broj])</f>
        <v>0</v>
      </c>
    </row>
    <row r="7" spans="1:18" x14ac:dyDescent="0.3">
      <c r="A7" s="2" t="s">
        <v>162</v>
      </c>
      <c r="B7" s="2" t="str">
        <f>"20"&amp;MID(drugiKolokvijum[[#This Row],[Email]],3,2)&amp;"/"&amp;MID(drugiKolokvijum[[#This Row],[Email]],5,4)</f>
        <v>2019/0236</v>
      </c>
      <c r="C7" s="5" t="str">
        <f>VLOOKUP(drugiKolokvijum[[#This Row],[Indeks]],spisakStudenata[],3,FALSE)</f>
        <v>Spasojević Aleksandar</v>
      </c>
      <c r="D7" s="2">
        <v>0.25</v>
      </c>
      <c r="E7" s="2">
        <v>1</v>
      </c>
      <c r="F7" s="2">
        <v>0</v>
      </c>
      <c r="G7" s="2">
        <v>0</v>
      </c>
      <c r="H7" s="2">
        <v>1</v>
      </c>
      <c r="I7" s="2">
        <v>0.33</v>
      </c>
      <c r="J7" s="2">
        <v>0.14000000000000001</v>
      </c>
      <c r="K7" s="2">
        <v>0</v>
      </c>
      <c r="L7" s="2">
        <v>0</v>
      </c>
      <c r="M7" s="2">
        <v>0</v>
      </c>
      <c r="N7" s="2">
        <f>SUM(drugiKolokvijum[[#This Row],[P1]]:drugiKolokvijum[[#This Row],[P10]])</f>
        <v>2.72</v>
      </c>
      <c r="P7" s="2">
        <v>10</v>
      </c>
      <c r="Q7" s="2">
        <f>COUNTIFS(drugiKolokvijum[Ukupno],"&lt;="&amp;P7,drugiKolokvijum[Ukupno],"&gt;"&amp;P6)</f>
        <v>0</v>
      </c>
      <c r="R7" s="9">
        <f>Table36[[#This Row],[Broj]]/SUM(Table36[Broj])</f>
        <v>0</v>
      </c>
    </row>
    <row r="8" spans="1:18" x14ac:dyDescent="0.3">
      <c r="A8" s="2" t="s">
        <v>159</v>
      </c>
      <c r="B8" s="2" t="str">
        <f>"20"&amp;MID(drugiKolokvijum[[#This Row],[Email]],3,2)&amp;"/"&amp;MID(drugiKolokvijum[[#This Row],[Email]],5,4)</f>
        <v>2019/0385</v>
      </c>
      <c r="C8" s="5" t="str">
        <f>VLOOKUP(drugiKolokvijum[[#This Row],[Indeks]],spisakStudenata[],3,FALSE)</f>
        <v>Kovačević Miloš</v>
      </c>
      <c r="D8" s="2">
        <v>0.25</v>
      </c>
      <c r="E8" s="2">
        <v>1</v>
      </c>
      <c r="F8" s="2">
        <v>1</v>
      </c>
      <c r="G8" s="2">
        <v>1</v>
      </c>
      <c r="H8" s="2">
        <v>1</v>
      </c>
      <c r="I8" s="2">
        <v>0</v>
      </c>
      <c r="J8" s="2">
        <v>0.86</v>
      </c>
      <c r="K8" s="2">
        <v>0</v>
      </c>
      <c r="L8" s="2">
        <v>0</v>
      </c>
      <c r="M8" s="2">
        <v>0.67</v>
      </c>
      <c r="N8" s="2">
        <f>SUM(drugiKolokvijum[[#This Row],[P1]]:drugiKolokvijum[[#This Row],[P10]])</f>
        <v>5.78</v>
      </c>
    </row>
    <row r="9" spans="1:18" x14ac:dyDescent="0.3">
      <c r="A9" s="2" t="s">
        <v>148</v>
      </c>
      <c r="B9" s="2" t="str">
        <f>"20"&amp;MID(drugiKolokvijum[[#This Row],[Email]],3,2)&amp;"/"&amp;MID(drugiKolokvijum[[#This Row],[Email]],5,4)</f>
        <v>2019/0559</v>
      </c>
      <c r="C9" s="5" t="str">
        <f>VLOOKUP(drugiKolokvijum[[#This Row],[Indeks]],spisakStudenata[],3,FALSE)</f>
        <v>Vojinović Marko</v>
      </c>
      <c r="D9" s="2">
        <v>0</v>
      </c>
      <c r="E9" s="2">
        <v>1</v>
      </c>
      <c r="F9" s="2">
        <v>1</v>
      </c>
      <c r="G9" s="2">
        <v>0</v>
      </c>
      <c r="H9" s="2">
        <v>0.25</v>
      </c>
      <c r="I9" s="2">
        <v>0.33</v>
      </c>
      <c r="J9" s="2">
        <v>0.43</v>
      </c>
      <c r="K9" s="2">
        <v>0</v>
      </c>
      <c r="L9" s="2">
        <v>0</v>
      </c>
      <c r="M9" s="2">
        <v>0</v>
      </c>
      <c r="N9" s="2">
        <f>SUM(drugiKolokvijum[[#This Row],[P1]]:drugiKolokvijum[[#This Row],[P10]])</f>
        <v>3.0100000000000002</v>
      </c>
    </row>
    <row r="10" spans="1:18" x14ac:dyDescent="0.3">
      <c r="A10" s="2" t="s">
        <v>161</v>
      </c>
      <c r="B10" s="2" t="str">
        <f>"20"&amp;MID(drugiKolokvijum[[#This Row],[Email]],3,2)&amp;"/"&amp;MID(drugiKolokvijum[[#This Row],[Email]],5,4)</f>
        <v>2019/0607</v>
      </c>
      <c r="C10" s="5" t="str">
        <f>VLOOKUP(drugiKolokvijum[[#This Row],[Indeks]],spisakStudenata[],3,FALSE)</f>
        <v>Mandušić Danilo</v>
      </c>
      <c r="D10" s="2">
        <v>0</v>
      </c>
      <c r="E10" s="2">
        <v>0</v>
      </c>
      <c r="F10" s="2">
        <v>0</v>
      </c>
      <c r="G10" s="2">
        <v>0</v>
      </c>
      <c r="H10" s="2">
        <v>1</v>
      </c>
      <c r="I10" s="2">
        <v>0</v>
      </c>
      <c r="J10" s="2">
        <v>0.86</v>
      </c>
      <c r="K10" s="2">
        <v>0</v>
      </c>
      <c r="L10" s="2">
        <v>0</v>
      </c>
      <c r="M10" s="2">
        <v>0</v>
      </c>
      <c r="N10" s="2">
        <f>SUM(drugiKolokvijum[[#This Row],[P1]]:drugiKolokvijum[[#This Row],[P10]])</f>
        <v>1.8599999999999999</v>
      </c>
    </row>
    <row r="11" spans="1:18" x14ac:dyDescent="0.3">
      <c r="A11" s="2" t="s">
        <v>155</v>
      </c>
      <c r="B11" s="2" t="str">
        <f>"20"&amp;MID(drugiKolokvijum[[#This Row],[Email]],3,2)&amp;"/"&amp;MID(drugiKolokvijum[[#This Row],[Email]],5,4)</f>
        <v>2019/0649</v>
      </c>
      <c r="C11" s="5" t="str">
        <f>VLOOKUP(drugiKolokvijum[[#This Row],[Indeks]],spisakStudenata[],3,FALSE)</f>
        <v>Kurepa Anja</v>
      </c>
      <c r="D11" s="2">
        <v>0</v>
      </c>
      <c r="E11" s="2">
        <v>1</v>
      </c>
      <c r="F11" s="2">
        <v>1</v>
      </c>
      <c r="G11" s="2">
        <v>0</v>
      </c>
      <c r="H11" s="2">
        <v>1</v>
      </c>
      <c r="I11" s="2">
        <v>0</v>
      </c>
      <c r="J11" s="2">
        <v>1</v>
      </c>
      <c r="K11" s="2">
        <v>0</v>
      </c>
      <c r="L11" s="2">
        <v>0</v>
      </c>
      <c r="M11" s="2">
        <v>0.25</v>
      </c>
      <c r="N11" s="2">
        <f>SUM(drugiKolokvijum[[#This Row],[P1]]:drugiKolokvijum[[#This Row],[P10]])</f>
        <v>4.25</v>
      </c>
    </row>
    <row r="12" spans="1:18" x14ac:dyDescent="0.3">
      <c r="A12" s="2" t="s">
        <v>149</v>
      </c>
      <c r="B12" s="2" t="str">
        <f>"20"&amp;MID(drugiKolokvijum[[#This Row],[Email]],3,2)&amp;"/"&amp;MID(drugiKolokvijum[[#This Row],[Email]],5,4)</f>
        <v>2020/0108</v>
      </c>
      <c r="C12" s="5" t="str">
        <f>VLOOKUP(drugiKolokvijum[[#This Row],[Indeks]],spisakStudenata[],3,FALSE)</f>
        <v>Perić Dragan</v>
      </c>
      <c r="D12" s="2">
        <v>1</v>
      </c>
      <c r="E12" s="2">
        <v>1</v>
      </c>
      <c r="F12" s="2">
        <v>1</v>
      </c>
      <c r="G12" s="2">
        <v>0</v>
      </c>
      <c r="H12" s="2">
        <v>1</v>
      </c>
      <c r="I12" s="2">
        <v>0.33</v>
      </c>
      <c r="J12" s="2">
        <v>1</v>
      </c>
      <c r="K12" s="2">
        <v>1</v>
      </c>
      <c r="L12" s="2">
        <v>1</v>
      </c>
      <c r="M12" s="2">
        <v>0.25</v>
      </c>
      <c r="N12" s="2">
        <f>SUM(drugiKolokvijum[[#This Row],[P1]]:drugiKolokvijum[[#This Row],[P10]])</f>
        <v>7.58</v>
      </c>
    </row>
    <row r="13" spans="1:18" x14ac:dyDescent="0.3">
      <c r="A13" s="2" t="s">
        <v>157</v>
      </c>
      <c r="B13" s="2" t="str">
        <f>"20"&amp;MID(drugiKolokvijum[[#This Row],[Email]],3,2)&amp;"/"&amp;MID(drugiKolokvijum[[#This Row],[Email]],5,4)</f>
        <v>2020/0248</v>
      </c>
      <c r="C13" s="5" t="str">
        <f>VLOOKUP(drugiKolokvijum[[#This Row],[Indeks]],spisakStudenata[],3,FALSE)</f>
        <v>Samardžić Lea</v>
      </c>
      <c r="D13" s="2">
        <v>0</v>
      </c>
      <c r="E13" s="2">
        <v>0.75</v>
      </c>
      <c r="F13" s="2">
        <v>1</v>
      </c>
      <c r="G13" s="2">
        <v>1</v>
      </c>
      <c r="H13" s="2">
        <v>1</v>
      </c>
      <c r="I13" s="2">
        <v>1</v>
      </c>
      <c r="J13" s="2">
        <v>1</v>
      </c>
      <c r="K13" s="2">
        <v>1</v>
      </c>
      <c r="L13" s="2">
        <v>1</v>
      </c>
      <c r="M13" s="2">
        <v>0.25</v>
      </c>
      <c r="N13" s="2">
        <f>SUM(drugiKolokvijum[[#This Row],[P1]]:drugiKolokvijum[[#This Row],[P10]])</f>
        <v>8</v>
      </c>
    </row>
    <row r="14" spans="1:18" x14ac:dyDescent="0.3">
      <c r="A14" s="2" t="s">
        <v>158</v>
      </c>
      <c r="B14" s="2" t="str">
        <f>"20"&amp;MID(drugiKolokvijum[[#This Row],[Email]],3,2)&amp;"/"&amp;MID(drugiKolokvijum[[#This Row],[Email]],5,4)</f>
        <v>2020/0253</v>
      </c>
      <c r="C14" s="5" t="str">
        <f>VLOOKUP(drugiKolokvijum[[#This Row],[Indeks]],spisakStudenata[],3,FALSE)</f>
        <v>Majstorović Ljubica</v>
      </c>
      <c r="D14" s="2">
        <v>0.25</v>
      </c>
      <c r="E14" s="2">
        <v>0.75</v>
      </c>
      <c r="F14" s="2">
        <v>0</v>
      </c>
      <c r="G14" s="2">
        <v>0</v>
      </c>
      <c r="H14" s="2">
        <v>1</v>
      </c>
      <c r="I14" s="2">
        <v>0</v>
      </c>
      <c r="J14" s="2">
        <v>0.43</v>
      </c>
      <c r="K14" s="2">
        <v>0</v>
      </c>
      <c r="L14" s="2">
        <v>1</v>
      </c>
      <c r="M14" s="2">
        <v>0</v>
      </c>
      <c r="N14" s="2">
        <f>SUM(drugiKolokvijum[[#This Row],[P1]]:drugiKolokvijum[[#This Row],[P10]])</f>
        <v>3.43</v>
      </c>
    </row>
    <row r="15" spans="1:18" x14ac:dyDescent="0.3">
      <c r="A15" s="2" t="s">
        <v>150</v>
      </c>
      <c r="B15" s="2" t="str">
        <f>"20"&amp;MID(drugiKolokvijum[[#This Row],[Email]],3,2)&amp;"/"&amp;MID(drugiKolokvijum[[#This Row],[Email]],5,4)</f>
        <v>2020/0327</v>
      </c>
      <c r="C15" s="5" t="str">
        <f>VLOOKUP(drugiKolokvijum[[#This Row],[Indeks]],spisakStudenata[],3,FALSE)</f>
        <v>Jovanović Milena</v>
      </c>
      <c r="D15" s="2">
        <v>0</v>
      </c>
      <c r="E15" s="2">
        <v>0</v>
      </c>
      <c r="F15" s="2">
        <v>0</v>
      </c>
      <c r="G15" s="2">
        <v>0</v>
      </c>
      <c r="H15" s="2">
        <v>1</v>
      </c>
      <c r="I15" s="2">
        <v>1</v>
      </c>
      <c r="J15" s="2">
        <v>0.56999999999999995</v>
      </c>
      <c r="K15" s="2">
        <v>0</v>
      </c>
      <c r="L15" s="2">
        <v>0</v>
      </c>
      <c r="M15" s="2">
        <v>1</v>
      </c>
      <c r="N15" s="2">
        <f>SUM(drugiKolokvijum[[#This Row],[P1]]:drugiKolokvijum[[#This Row],[P10]])</f>
        <v>3.57</v>
      </c>
    </row>
    <row r="16" spans="1:18" x14ac:dyDescent="0.3">
      <c r="A16" s="2" t="s">
        <v>156</v>
      </c>
      <c r="B16" s="2" t="str">
        <f>"20"&amp;MID(drugiKolokvijum[[#This Row],[Email]],3,2)&amp;"/"&amp;MID(drugiKolokvijum[[#This Row],[Email]],5,4)</f>
        <v>2020/0459</v>
      </c>
      <c r="C16" s="5" t="str">
        <f>VLOOKUP(drugiKolokvijum[[#This Row],[Indeks]],spisakStudenata[],3,FALSE)</f>
        <v>Bojović Ana</v>
      </c>
      <c r="D16" s="5">
        <v>1</v>
      </c>
      <c r="E16" s="5">
        <v>0</v>
      </c>
      <c r="F16" s="5">
        <v>1</v>
      </c>
      <c r="G16" s="5">
        <v>0</v>
      </c>
      <c r="H16" s="5">
        <v>1</v>
      </c>
      <c r="I16" s="5">
        <v>0</v>
      </c>
      <c r="J16" s="5">
        <v>1</v>
      </c>
      <c r="K16" s="5">
        <v>0.5</v>
      </c>
      <c r="L16" s="5">
        <v>0</v>
      </c>
      <c r="M16" s="5">
        <v>1</v>
      </c>
      <c r="N16" s="2">
        <f>SUM(drugiKolokvijum[[#This Row],[P1]]:drugiKolokvijum[[#This Row],[P10]])</f>
        <v>5.5</v>
      </c>
    </row>
    <row r="17" spans="1:14" x14ac:dyDescent="0.3">
      <c r="A17" s="2" t="s">
        <v>151</v>
      </c>
      <c r="B17" s="2" t="str">
        <f>"20"&amp;MID(drugiKolokvijum[[#This Row],[Email]],3,2)&amp;"/"&amp;MID(drugiKolokvijum[[#This Row],[Email]],5,4)</f>
        <v>2020/0627</v>
      </c>
      <c r="C17" s="5" t="str">
        <f>VLOOKUP(drugiKolokvijum[[#This Row],[Indeks]],spisakStudenata[],3,FALSE)</f>
        <v>Đurić Anja</v>
      </c>
      <c r="D17" s="2">
        <v>1</v>
      </c>
      <c r="E17" s="2">
        <v>0.75</v>
      </c>
      <c r="F17" s="2">
        <v>0</v>
      </c>
      <c r="G17" s="2">
        <v>0</v>
      </c>
      <c r="H17" s="2">
        <v>1</v>
      </c>
      <c r="I17" s="2">
        <v>1</v>
      </c>
      <c r="J17" s="2">
        <v>0.86</v>
      </c>
      <c r="K17" s="2">
        <v>1</v>
      </c>
      <c r="L17" s="2">
        <v>1</v>
      </c>
      <c r="M17" s="2">
        <v>1</v>
      </c>
      <c r="N17" s="2">
        <f>SUM(drugiKolokvijum[[#This Row],[P1]]:drugiKolokvijum[[#This Row],[P10]])</f>
        <v>7.61</v>
      </c>
    </row>
    <row r="18" spans="1:14" x14ac:dyDescent="0.3">
      <c r="C18" s="5"/>
    </row>
    <row r="19" spans="1:14" x14ac:dyDescent="0.3">
      <c r="C19" s="5"/>
    </row>
    <row r="20" spans="1:14" x14ac:dyDescent="0.3">
      <c r="C20" s="5"/>
    </row>
    <row r="21" spans="1:14" x14ac:dyDescent="0.3">
      <c r="C21" s="5"/>
    </row>
    <row r="22" spans="1:14" x14ac:dyDescent="0.3">
      <c r="C22" s="5"/>
    </row>
    <row r="23" spans="1:14" x14ac:dyDescent="0.3">
      <c r="C23" s="5"/>
    </row>
    <row r="24" spans="1:14" x14ac:dyDescent="0.3">
      <c r="C24" s="5"/>
    </row>
    <row r="25" spans="1:14" x14ac:dyDescent="0.3">
      <c r="C25" s="5"/>
    </row>
    <row r="26" spans="1:14" x14ac:dyDescent="0.3">
      <c r="C26" s="5"/>
    </row>
    <row r="27" spans="1:14" x14ac:dyDescent="0.3">
      <c r="C27" s="5"/>
    </row>
    <row r="28" spans="1:14" x14ac:dyDescent="0.3">
      <c r="C28" s="5"/>
    </row>
    <row r="29" spans="1:14" x14ac:dyDescent="0.3">
      <c r="C29" s="5"/>
    </row>
    <row r="30" spans="1:14" x14ac:dyDescent="0.3">
      <c r="C30" s="5"/>
    </row>
    <row r="31" spans="1:14" x14ac:dyDescent="0.3">
      <c r="C31" s="5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&amp;LRačunarska grafika&amp;CRezultati drugog kolokvijuma održanog 03.05.2023.&amp;R2022/2023</oddHeader>
  </headerFooter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51198-8B11-48D1-A54B-DC1953B15348}">
  <dimension ref="A1:R7"/>
  <sheetViews>
    <sheetView zoomScaleNormal="100" workbookViewId="0">
      <selection activeCell="F7" sqref="F7"/>
    </sheetView>
  </sheetViews>
  <sheetFormatPr defaultRowHeight="15.6" x14ac:dyDescent="0.3"/>
  <cols>
    <col min="1" max="1" width="11.5546875" style="2" bestFit="1" customWidth="1"/>
    <col min="2" max="2" width="18.109375" style="2" bestFit="1" customWidth="1"/>
    <col min="3" max="3" width="11.77734375" style="2" bestFit="1" customWidth="1"/>
    <col min="4" max="7" width="10.6640625" style="2" bestFit="1" customWidth="1"/>
    <col min="8" max="11" width="11.77734375" style="2" bestFit="1" customWidth="1"/>
    <col min="12" max="13" width="12.88671875" style="2" bestFit="1" customWidth="1"/>
    <col min="14" max="14" width="7.44140625" style="2" bestFit="1" customWidth="1"/>
    <col min="15" max="15" width="8.88671875" style="2"/>
    <col min="16" max="16" width="11.33203125" style="2" bestFit="1" customWidth="1"/>
    <col min="17" max="17" width="9.21875" style="2" bestFit="1" customWidth="1"/>
    <col min="18" max="18" width="13.77734375" style="2" bestFit="1" customWidth="1"/>
    <col min="19" max="16384" width="8.88671875" style="2"/>
  </cols>
  <sheetData>
    <row r="1" spans="1:18" x14ac:dyDescent="0.3">
      <c r="A1" s="2" t="s">
        <v>0</v>
      </c>
      <c r="B1" s="2" t="s">
        <v>49</v>
      </c>
      <c r="C1" s="2" t="s">
        <v>30</v>
      </c>
      <c r="D1" s="2" t="s">
        <v>174</v>
      </c>
      <c r="E1" s="2" t="s">
        <v>86</v>
      </c>
      <c r="F1" s="2" t="s">
        <v>175</v>
      </c>
      <c r="G1" s="2" t="s">
        <v>176</v>
      </c>
      <c r="H1" s="2" t="s">
        <v>167</v>
      </c>
      <c r="I1" s="2" t="s">
        <v>168</v>
      </c>
      <c r="J1" s="2" t="s">
        <v>177</v>
      </c>
      <c r="K1" s="2" t="s">
        <v>178</v>
      </c>
      <c r="L1" s="2" t="s">
        <v>179</v>
      </c>
      <c r="M1" s="2" t="s">
        <v>171</v>
      </c>
      <c r="N1" s="2" t="s">
        <v>34</v>
      </c>
      <c r="P1" s="2" t="s">
        <v>27</v>
      </c>
      <c r="Q1" s="2" t="s">
        <v>26</v>
      </c>
      <c r="R1" s="2" t="s">
        <v>47</v>
      </c>
    </row>
    <row r="2" spans="1:18" x14ac:dyDescent="0.3">
      <c r="A2" s="2" t="s">
        <v>108</v>
      </c>
      <c r="B2" s="2" t="str">
        <f>VLOOKUP(cetvrtaLaboratorijskaVezba[[#This Row],[Indeks]],spisakStudenata[],3,FALSE)</f>
        <v>Stefanović Marija</v>
      </c>
      <c r="C2" s="2">
        <v>10</v>
      </c>
      <c r="D2" s="2">
        <v>5</v>
      </c>
      <c r="E2" s="2">
        <v>5</v>
      </c>
      <c r="F2" s="2">
        <v>0</v>
      </c>
      <c r="G2" s="2">
        <v>5</v>
      </c>
      <c r="H2" s="2">
        <v>10</v>
      </c>
      <c r="I2" s="2">
        <v>15</v>
      </c>
      <c r="J2" s="2">
        <v>0</v>
      </c>
      <c r="K2" s="2">
        <v>0</v>
      </c>
      <c r="L2" s="2">
        <v>15</v>
      </c>
      <c r="M2" s="2">
        <v>0</v>
      </c>
      <c r="N2" s="2">
        <f>MIN(100,SUM(cetvrtaLaboratorijskaVezba[[#This Row],[T1 (10)]]:cetvrtaLaboratorijskaVezba[[#This Row],[T11 (10)]]))</f>
        <v>65</v>
      </c>
      <c r="P2" s="2">
        <v>5</v>
      </c>
      <c r="Q2" s="2">
        <f>COUNTIF(cetvrtaLaboratorijskaVezba[L4],"&lt;=" &amp; (Table1214[[#This Row],[Ocena]]*10))</f>
        <v>0</v>
      </c>
      <c r="R2" s="9">
        <f>Table1214[[#This Row],[Broj]]/SUM(Table1214[Broj])</f>
        <v>0</v>
      </c>
    </row>
    <row r="3" spans="1:18" x14ac:dyDescent="0.3">
      <c r="A3" s="2" t="s">
        <v>116</v>
      </c>
      <c r="B3" s="2" t="str">
        <f>VLOOKUP(cetvrtaLaboratorijskaVezba[[#This Row],[Indeks]],spisakStudenata[],3,FALSE)</f>
        <v>Perić Dragan</v>
      </c>
      <c r="C3" s="2">
        <v>10</v>
      </c>
      <c r="D3" s="2">
        <v>5</v>
      </c>
      <c r="E3" s="2">
        <v>5</v>
      </c>
      <c r="F3" s="2">
        <v>5</v>
      </c>
      <c r="G3" s="2">
        <v>5</v>
      </c>
      <c r="H3" s="2">
        <v>10</v>
      </c>
      <c r="I3" s="2">
        <v>15</v>
      </c>
      <c r="J3" s="2">
        <v>0</v>
      </c>
      <c r="K3" s="2">
        <v>0</v>
      </c>
      <c r="L3" s="2">
        <v>0</v>
      </c>
      <c r="M3" s="2">
        <v>10</v>
      </c>
      <c r="N3" s="2">
        <f>MIN(100,SUM(cetvrtaLaboratorijskaVezba[[#This Row],[T1 (10)]]:cetvrtaLaboratorijskaVezba[[#This Row],[T11 (10)]]))</f>
        <v>65</v>
      </c>
      <c r="P3" s="2">
        <v>6</v>
      </c>
      <c r="Q3" s="2">
        <f>COUNTIFS(cetvrtaLaboratorijskaVezba[L4],"&lt;=" &amp; Table1214[[#This Row],[Ocena]] * 10,cetvrtaLaboratorijskaVezba[L4],"&gt;" &amp; ((Table1214[[#This Row],[Ocena]] - 1) * 10))</f>
        <v>0</v>
      </c>
      <c r="R3" s="9">
        <f>Table1214[[#This Row],[Broj]]/SUM(Table1214[Broj])</f>
        <v>0</v>
      </c>
    </row>
    <row r="4" spans="1:18" x14ac:dyDescent="0.3">
      <c r="P4" s="2">
        <v>7</v>
      </c>
      <c r="Q4" s="2">
        <f>COUNTIFS(cetvrtaLaboratorijskaVezba[L4],"&lt;=" &amp; Table1214[[#This Row],[Ocena]] * 10,cetvrtaLaboratorijskaVezba[L4],"&gt;" &amp; ((Table1214[[#This Row],[Ocena]] - 1) * 10))</f>
        <v>2</v>
      </c>
      <c r="R4" s="9">
        <f>Table1214[[#This Row],[Broj]]/SUM(Table1214[Broj])</f>
        <v>1</v>
      </c>
    </row>
    <row r="5" spans="1:18" x14ac:dyDescent="0.3">
      <c r="P5" s="2">
        <v>8</v>
      </c>
      <c r="Q5" s="2">
        <f>COUNTIFS(cetvrtaLaboratorijskaVezba[L4],"&lt;=" &amp; Table1214[[#This Row],[Ocena]] * 10,cetvrtaLaboratorijskaVezba[L4],"&gt;" &amp; ((Table1214[[#This Row],[Ocena]] - 1) * 10))</f>
        <v>0</v>
      </c>
      <c r="R5" s="9">
        <f>Table1214[[#This Row],[Broj]]/SUM(Table1214[Broj])</f>
        <v>0</v>
      </c>
    </row>
    <row r="6" spans="1:18" x14ac:dyDescent="0.3">
      <c r="P6" s="2">
        <v>9</v>
      </c>
      <c r="Q6" s="2">
        <f>COUNTIFS(cetvrtaLaboratorijskaVezba[L4],"&lt;=" &amp; Table1214[[#This Row],[Ocena]] * 10,cetvrtaLaboratorijskaVezba[L4],"&gt;" &amp; ((Table1214[[#This Row],[Ocena]] - 1) * 10))</f>
        <v>0</v>
      </c>
      <c r="R6" s="9">
        <f>Table1214[[#This Row],[Broj]]/SUM(Table1214[Broj])</f>
        <v>0</v>
      </c>
    </row>
    <row r="7" spans="1:18" x14ac:dyDescent="0.3">
      <c r="P7" s="2">
        <v>10</v>
      </c>
      <c r="Q7" s="2">
        <f>COUNTIFS(cetvrtaLaboratorijskaVezba[L4],"&lt;=" &amp; Table1214[[#This Row],[Ocena]] * 10,cetvrtaLaboratorijskaVezba[L4],"&gt;" &amp; ((Table1214[[#This Row],[Ocena]] - 1) * 10))</f>
        <v>0</v>
      </c>
      <c r="R7" s="9">
        <f>Table1214[[#This Row],[Broj]]/SUM(Table1214[Broj])</f>
        <v>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&amp;LRačunarska grafika&amp;CRezultati četvrte laboratorijske vežbe održane 28.04.2023.&amp;R2022/2023</oddHeader>
  </headerFooter>
  <drawing r:id="rId2"/>
  <tableParts count="2">
    <tablePart r:id="rId3"/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45AF4-3A89-45A8-B656-C9F7A3C27774}">
  <dimension ref="A1:I26"/>
  <sheetViews>
    <sheetView zoomScale="115" zoomScaleNormal="115" workbookViewId="0">
      <selection activeCell="I5" sqref="I5"/>
    </sheetView>
  </sheetViews>
  <sheetFormatPr defaultRowHeight="14.4" x14ac:dyDescent="0.3"/>
  <cols>
    <col min="1" max="1" width="11" style="1" bestFit="1" customWidth="1"/>
    <col min="2" max="2" width="19.88671875" style="1" bestFit="1" customWidth="1"/>
    <col min="3" max="5" width="8.6640625" style="1" bestFit="1" customWidth="1"/>
    <col min="6" max="6" width="8.88671875" style="1"/>
    <col min="7" max="7" width="10.21875" style="1" bestFit="1" customWidth="1"/>
    <col min="8" max="8" width="8.88671875" style="1"/>
    <col min="9" max="9" width="11.109375" style="1" bestFit="1" customWidth="1"/>
    <col min="10" max="16384" width="8.88671875" style="1"/>
  </cols>
  <sheetData>
    <row r="1" spans="1:9" x14ac:dyDescent="0.3">
      <c r="A1" s="1" t="s">
        <v>0</v>
      </c>
      <c r="B1" s="1" t="s">
        <v>49</v>
      </c>
      <c r="C1" s="1" t="s">
        <v>44</v>
      </c>
      <c r="D1" s="1" t="s">
        <v>37</v>
      </c>
      <c r="E1" s="1" t="s">
        <v>38</v>
      </c>
      <c r="G1" s="1" t="s">
        <v>44</v>
      </c>
      <c r="H1" s="1" t="s">
        <v>26</v>
      </c>
      <c r="I1" s="1" t="s">
        <v>50</v>
      </c>
    </row>
    <row r="2" spans="1:9" x14ac:dyDescent="0.3">
      <c r="A2" s="1" t="s">
        <v>108</v>
      </c>
      <c r="B2" s="1" t="str">
        <f>VLOOKUP(dz[[#This Row],[Indeks]],spisakStudenata[],3,FALSE)</f>
        <v>Stefanović Marija</v>
      </c>
      <c r="C2" s="1">
        <v>1</v>
      </c>
      <c r="D2" s="1">
        <v>85</v>
      </c>
      <c r="E2" s="1">
        <v>80</v>
      </c>
      <c r="G2" s="1" t="s">
        <v>51</v>
      </c>
      <c r="H2" s="1">
        <v>1</v>
      </c>
      <c r="I2" s="1" t="s">
        <v>183</v>
      </c>
    </row>
    <row r="3" spans="1:9" x14ac:dyDescent="0.3">
      <c r="A3" s="1" t="s">
        <v>100</v>
      </c>
      <c r="B3" s="1" t="str">
        <f>VLOOKUP(dz[[#This Row],[Indeks]],spisakStudenata[],3,FALSE)</f>
        <v>Mikanović Darko</v>
      </c>
      <c r="C3" s="1">
        <v>1</v>
      </c>
      <c r="D3" s="1">
        <v>100</v>
      </c>
      <c r="E3" s="1">
        <v>100</v>
      </c>
      <c r="G3" s="1" t="s">
        <v>52</v>
      </c>
      <c r="H3" s="1">
        <v>2</v>
      </c>
      <c r="I3" s="1" t="s">
        <v>184</v>
      </c>
    </row>
    <row r="4" spans="1:9" x14ac:dyDescent="0.3">
      <c r="A4" s="1" t="s">
        <v>94</v>
      </c>
      <c r="B4" s="1" t="str">
        <f>VLOOKUP(dz[[#This Row],[Indeks]],spisakStudenata[],3,FALSE)</f>
        <v>Stojiljković Aleksa</v>
      </c>
      <c r="C4" s="1">
        <v>1</v>
      </c>
      <c r="D4" s="1">
        <v>100</v>
      </c>
      <c r="E4" s="1">
        <v>100</v>
      </c>
      <c r="G4" s="1" t="s">
        <v>53</v>
      </c>
      <c r="H4" s="1">
        <v>3</v>
      </c>
      <c r="I4" s="1" t="s">
        <v>185</v>
      </c>
    </row>
    <row r="5" spans="1:9" x14ac:dyDescent="0.3">
      <c r="A5" s="1" t="s">
        <v>96</v>
      </c>
      <c r="B5" s="1" t="str">
        <f>VLOOKUP(dz[[#This Row],[Indeks]],spisakStudenata[],3,FALSE)</f>
        <v>Spasojević Aleksandar</v>
      </c>
      <c r="C5" s="1">
        <v>2</v>
      </c>
      <c r="D5" s="1">
        <v>100</v>
      </c>
      <c r="E5" s="1">
        <v>100</v>
      </c>
      <c r="G5" s="1" t="s">
        <v>55</v>
      </c>
      <c r="H5" s="1">
        <v>4</v>
      </c>
      <c r="I5" s="1" t="s">
        <v>186</v>
      </c>
    </row>
    <row r="6" spans="1:9" x14ac:dyDescent="0.3">
      <c r="A6" s="1" t="s">
        <v>104</v>
      </c>
      <c r="B6" s="1" t="str">
        <f>VLOOKUP(dz[[#This Row],[Indeks]],spisakStudenata[],3,FALSE)</f>
        <v>Kurepa Anja</v>
      </c>
      <c r="C6" s="1">
        <v>2</v>
      </c>
      <c r="D6" s="1">
        <v>100</v>
      </c>
      <c r="E6" s="1">
        <v>100</v>
      </c>
      <c r="G6" s="1" t="s">
        <v>56</v>
      </c>
      <c r="H6" s="1">
        <v>5</v>
      </c>
    </row>
    <row r="7" spans="1:9" x14ac:dyDescent="0.3">
      <c r="A7" s="1" t="s">
        <v>66</v>
      </c>
      <c r="B7" s="1" t="str">
        <f>VLOOKUP(dz[[#This Row],[Indeks]],spisakStudenata[],3,FALSE)</f>
        <v>Milošević Isidora</v>
      </c>
      <c r="C7" s="1">
        <v>2</v>
      </c>
      <c r="D7" s="1">
        <v>60</v>
      </c>
      <c r="E7" s="1">
        <v>60</v>
      </c>
      <c r="G7" s="1" t="s">
        <v>57</v>
      </c>
      <c r="H7" s="1">
        <v>6</v>
      </c>
    </row>
    <row r="8" spans="1:9" x14ac:dyDescent="0.3">
      <c r="A8" s="1" t="s">
        <v>90</v>
      </c>
      <c r="B8" s="1" t="str">
        <f>VLOOKUP(dz[[#This Row],[Indeks]],spisakStudenata[],3,FALSE)</f>
        <v>Radulović Vuk</v>
      </c>
      <c r="C8" s="1">
        <v>3</v>
      </c>
      <c r="D8" s="1">
        <v>100</v>
      </c>
      <c r="E8" s="1">
        <v>100</v>
      </c>
    </row>
    <row r="9" spans="1:9" x14ac:dyDescent="0.3">
      <c r="A9" s="1" t="s">
        <v>102</v>
      </c>
      <c r="B9" s="1" t="str">
        <f>VLOOKUP(dz[[#This Row],[Indeks]],spisakStudenata[],3,FALSE)</f>
        <v>Vojinović Marko</v>
      </c>
      <c r="C9" s="1">
        <v>3</v>
      </c>
      <c r="D9" s="1">
        <v>90</v>
      </c>
      <c r="E9" s="1">
        <v>80</v>
      </c>
    </row>
    <row r="10" spans="1:9" x14ac:dyDescent="0.3">
      <c r="A10" s="1" t="s">
        <v>110</v>
      </c>
      <c r="B10" s="1" t="str">
        <f>VLOOKUP(dz[[#This Row],[Indeks]],spisakStudenata[],3,FALSE)</f>
        <v>Mandušić Danilo</v>
      </c>
      <c r="C10" s="1">
        <v>3</v>
      </c>
      <c r="D10" s="1">
        <v>70</v>
      </c>
      <c r="E10" s="1">
        <v>90</v>
      </c>
    </row>
    <row r="11" spans="1:9" x14ac:dyDescent="0.3">
      <c r="A11" s="1" t="s">
        <v>98</v>
      </c>
      <c r="B11" s="1" t="str">
        <f>VLOOKUP(dz[[#This Row],[Indeks]],spisakStudenata[],3,FALSE)</f>
        <v>Kovačević Miloš</v>
      </c>
      <c r="C11" s="1">
        <v>3</v>
      </c>
      <c r="D11" s="1">
        <v>100</v>
      </c>
      <c r="E11" s="1">
        <v>100</v>
      </c>
    </row>
    <row r="12" spans="1:9" x14ac:dyDescent="0.3">
      <c r="A12" s="1" t="s">
        <v>120</v>
      </c>
      <c r="B12" s="1" t="str">
        <f>VLOOKUP(dz[[#This Row],[Indeks]],spisakStudenata[],3,FALSE)</f>
        <v>Majstorović Ljubica</v>
      </c>
      <c r="C12" s="1">
        <v>4</v>
      </c>
      <c r="D12" s="1">
        <v>100</v>
      </c>
      <c r="E12" s="1">
        <v>100</v>
      </c>
    </row>
    <row r="13" spans="1:9" x14ac:dyDescent="0.3">
      <c r="A13" s="1" t="s">
        <v>118</v>
      </c>
      <c r="B13" s="1" t="str">
        <f>VLOOKUP(dz[[#This Row],[Indeks]],spisakStudenata[],3,FALSE)</f>
        <v>Samardžić Lea</v>
      </c>
      <c r="C13" s="1">
        <v>4</v>
      </c>
      <c r="D13" s="1">
        <v>100</v>
      </c>
      <c r="E13" s="1">
        <v>100</v>
      </c>
    </row>
    <row r="14" spans="1:9" x14ac:dyDescent="0.3">
      <c r="A14" s="1" t="s">
        <v>87</v>
      </c>
      <c r="B14" s="1" t="str">
        <f>VLOOKUP(dz[[#This Row],[Indeks]],spisakStudenata[],3,FALSE)</f>
        <v>Mihailo Folić</v>
      </c>
      <c r="C14" s="1">
        <v>4</v>
      </c>
      <c r="D14" s="1">
        <v>95</v>
      </c>
      <c r="E14" s="1">
        <v>100</v>
      </c>
    </row>
    <row r="15" spans="1:9" x14ac:dyDescent="0.3">
      <c r="A15" s="1" t="s">
        <v>122</v>
      </c>
      <c r="B15" s="1" t="str">
        <f>VLOOKUP(dz[[#This Row],[Indeks]],spisakStudenata[],3,FALSE)</f>
        <v>Jovanović Milena</v>
      </c>
      <c r="C15" s="1">
        <v>4</v>
      </c>
      <c r="D15" s="1">
        <v>95</v>
      </c>
      <c r="E15" s="1">
        <v>100</v>
      </c>
    </row>
    <row r="16" spans="1:9" x14ac:dyDescent="0.3">
      <c r="B16" s="1" t="e">
        <f>VLOOKUP(dz[[#This Row],[Indeks]],spisakStudenata[],3,FALSE)</f>
        <v>#N/A</v>
      </c>
    </row>
    <row r="17" spans="2:2" x14ac:dyDescent="0.3">
      <c r="B17" s="1" t="e">
        <f>VLOOKUP(dz[[#This Row],[Indeks]],spisakStudenata[],3,FALSE)</f>
        <v>#N/A</v>
      </c>
    </row>
    <row r="18" spans="2:2" x14ac:dyDescent="0.3">
      <c r="B18" s="1" t="e">
        <f>VLOOKUP(dz[[#This Row],[Indeks]],spisakStudenata[],3,FALSE)</f>
        <v>#N/A</v>
      </c>
    </row>
    <row r="19" spans="2:2" x14ac:dyDescent="0.3">
      <c r="B19" s="1" t="e">
        <f>VLOOKUP(dz[[#This Row],[Indeks]],spisakStudenata[],3,FALSE)</f>
        <v>#N/A</v>
      </c>
    </row>
    <row r="20" spans="2:2" x14ac:dyDescent="0.3">
      <c r="B20" s="1" t="e">
        <f>VLOOKUP(dz[[#This Row],[Indeks]],spisakStudenata[],3,FALSE)</f>
        <v>#N/A</v>
      </c>
    </row>
    <row r="21" spans="2:2" x14ac:dyDescent="0.3">
      <c r="B21" s="1" t="e">
        <f>VLOOKUP(dz[[#This Row],[Indeks]],spisakStudenata[],3,FALSE)</f>
        <v>#N/A</v>
      </c>
    </row>
    <row r="22" spans="2:2" x14ac:dyDescent="0.3">
      <c r="B22" s="1" t="e">
        <f>VLOOKUP(dz[[#This Row],[Indeks]],spisakStudenata[],3,FALSE)</f>
        <v>#N/A</v>
      </c>
    </row>
    <row r="23" spans="2:2" x14ac:dyDescent="0.3">
      <c r="B23" s="1" t="e">
        <f>VLOOKUP(dz[[#This Row],[Indeks]],spisakStudenata[],3,FALSE)</f>
        <v>#N/A</v>
      </c>
    </row>
    <row r="24" spans="2:2" x14ac:dyDescent="0.3">
      <c r="B24" s="1" t="e">
        <f>VLOOKUP(dz[[#This Row],[Indeks]],spisakStudenata[],3,FALSE)</f>
        <v>#N/A</v>
      </c>
    </row>
    <row r="25" spans="2:2" x14ac:dyDescent="0.3">
      <c r="B25" s="1" t="e">
        <f>VLOOKUP(dz[[#This Row],[Indeks]],spisakStudenata[],3,FALSE)</f>
        <v>#N/A</v>
      </c>
    </row>
    <row r="26" spans="2:2" x14ac:dyDescent="0.3">
      <c r="B26" s="1" t="e">
        <f>VLOOKUP(dz[[#This Row],[Indeks]],spisakStudenata[],3,FALSE)</f>
        <v>#N/A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9E42F-C3DA-42BF-A656-91D37C4EF943}">
  <dimension ref="A1:T55"/>
  <sheetViews>
    <sheetView topLeftCell="A14" workbookViewId="0">
      <selection activeCell="K28" sqref="K28"/>
    </sheetView>
  </sheetViews>
  <sheetFormatPr defaultRowHeight="14.4" x14ac:dyDescent="0.3"/>
  <cols>
    <col min="1" max="1" width="32.88671875" style="1" bestFit="1" customWidth="1"/>
    <col min="2" max="2" width="11.5546875" style="1" bestFit="1" customWidth="1"/>
    <col min="3" max="3" width="20.109375" style="1" bestFit="1" customWidth="1"/>
    <col min="4" max="4" width="9" style="1" bestFit="1" customWidth="1"/>
    <col min="5" max="13" width="7.77734375" style="1" bestFit="1" customWidth="1"/>
    <col min="14" max="14" width="8.88671875" style="1" bestFit="1" customWidth="1"/>
    <col min="15" max="15" width="12.88671875" style="1" bestFit="1" customWidth="1"/>
    <col min="16" max="16" width="12.88671875" style="1" customWidth="1"/>
    <col min="17" max="17" width="8.88671875" style="1"/>
    <col min="18" max="18" width="10.44140625" style="1" bestFit="1" customWidth="1"/>
    <col min="19" max="19" width="8.88671875" style="1"/>
    <col min="20" max="20" width="11.109375" style="1" bestFit="1" customWidth="1"/>
    <col min="21" max="16384" width="8.88671875" style="1"/>
  </cols>
  <sheetData>
    <row r="1" spans="1:20" ht="15.6" x14ac:dyDescent="0.3">
      <c r="A1" s="6" t="s">
        <v>35</v>
      </c>
      <c r="B1" s="6" t="s">
        <v>0</v>
      </c>
      <c r="C1" s="7" t="s">
        <v>49</v>
      </c>
      <c r="D1" s="7" t="s">
        <v>44</v>
      </c>
      <c r="E1" s="7" t="s">
        <v>16</v>
      </c>
      <c r="F1" s="7" t="s">
        <v>17</v>
      </c>
      <c r="G1" s="7" t="s">
        <v>18</v>
      </c>
      <c r="H1" s="7" t="s">
        <v>19</v>
      </c>
      <c r="I1" s="7" t="s">
        <v>20</v>
      </c>
      <c r="J1" s="7" t="s">
        <v>21</v>
      </c>
      <c r="K1" s="7" t="s">
        <v>22</v>
      </c>
      <c r="L1" s="7" t="s">
        <v>23</v>
      </c>
      <c r="M1" s="7" t="s">
        <v>24</v>
      </c>
      <c r="N1" s="7" t="s">
        <v>25</v>
      </c>
      <c r="O1" s="7" t="s">
        <v>36</v>
      </c>
      <c r="P1" s="7"/>
      <c r="R1" s="1" t="s">
        <v>44</v>
      </c>
      <c r="S1" s="1" t="s">
        <v>26</v>
      </c>
      <c r="T1" s="1" t="s">
        <v>50</v>
      </c>
    </row>
    <row r="2" spans="1:20" ht="15.6" x14ac:dyDescent="0.3">
      <c r="A2" s="6" t="s">
        <v>154</v>
      </c>
      <c r="B2" s="6" t="str">
        <f>"20"&amp;MID(ispit[[#This Row],[Email]],3,2)&amp;"/"&amp;MID(ispit[[#This Row],[Email]],5,4)</f>
        <v>2019/0066</v>
      </c>
      <c r="C2" s="6" t="str">
        <f>VLOOKUP(ispit[[#This Row],[Indeks]],spisakStudenata[],3,FALSE)</f>
        <v>Stojiljković Aleksa</v>
      </c>
      <c r="D2" s="6">
        <v>1</v>
      </c>
      <c r="E2" s="6">
        <v>1</v>
      </c>
      <c r="F2" s="6">
        <v>1</v>
      </c>
      <c r="G2" s="6">
        <v>1</v>
      </c>
      <c r="H2" s="6">
        <v>0.75</v>
      </c>
      <c r="I2" s="6">
        <v>0</v>
      </c>
      <c r="J2" s="6">
        <v>1</v>
      </c>
      <c r="K2" s="6">
        <v>0.5</v>
      </c>
      <c r="L2" s="6">
        <v>1</v>
      </c>
      <c r="M2" s="6">
        <v>0</v>
      </c>
      <c r="N2" s="6">
        <v>1</v>
      </c>
      <c r="O2" s="7">
        <f>SUM(ispit[[#This Row],[P1]]:ispit[[#This Row],[P10]])</f>
        <v>7.25</v>
      </c>
      <c r="P2" s="7"/>
      <c r="R2" s="1" t="s">
        <v>51</v>
      </c>
      <c r="S2" s="1">
        <v>1</v>
      </c>
    </row>
    <row r="3" spans="1:20" ht="15.6" x14ac:dyDescent="0.3">
      <c r="A3" s="6" t="s">
        <v>148</v>
      </c>
      <c r="B3" s="6" t="str">
        <f>"20"&amp;MID(ispit[[#This Row],[Email]],3,2)&amp;"/"&amp;MID(ispit[[#This Row],[Email]],5,4)</f>
        <v>2019/0559</v>
      </c>
      <c r="C3" s="6" t="str">
        <f>VLOOKUP(ispit[[#This Row],[Indeks]],spisakStudenata[],3,FALSE)</f>
        <v>Vojinović Marko</v>
      </c>
      <c r="D3" s="6">
        <v>1</v>
      </c>
      <c r="E3" s="6">
        <v>0</v>
      </c>
      <c r="F3" s="6">
        <v>1</v>
      </c>
      <c r="G3" s="6">
        <v>0.33</v>
      </c>
      <c r="H3" s="6">
        <v>0.5</v>
      </c>
      <c r="I3" s="6">
        <v>1</v>
      </c>
      <c r="J3" s="6">
        <v>0</v>
      </c>
      <c r="K3" s="6">
        <v>0.25</v>
      </c>
      <c r="L3" s="6">
        <v>0.6</v>
      </c>
      <c r="M3" s="6">
        <v>0.33</v>
      </c>
      <c r="N3" s="6">
        <v>0</v>
      </c>
      <c r="O3" s="7">
        <f>SUM(ispit[[#This Row],[P1]]:ispit[[#This Row],[P10]])</f>
        <v>4.01</v>
      </c>
      <c r="P3" s="7"/>
      <c r="R3" s="1" t="s">
        <v>52</v>
      </c>
      <c r="S3" s="1">
        <v>2</v>
      </c>
    </row>
    <row r="4" spans="1:20" ht="15.6" x14ac:dyDescent="0.3">
      <c r="A4" s="6" t="s">
        <v>157</v>
      </c>
      <c r="B4" s="6" t="str">
        <f>"20"&amp;MID(ispit[[#This Row],[Email]],3,2)&amp;"/"&amp;MID(ispit[[#This Row],[Email]],5,4)</f>
        <v>2020/0248</v>
      </c>
      <c r="C4" s="6" t="str">
        <f>VLOOKUP(ispit[[#This Row],[Indeks]],spisakStudenata[],3,FALSE)</f>
        <v>Samardžić Lea</v>
      </c>
      <c r="D4" s="6">
        <v>1</v>
      </c>
      <c r="E4" s="6">
        <v>0</v>
      </c>
      <c r="F4" s="6">
        <v>1</v>
      </c>
      <c r="G4" s="6">
        <v>1</v>
      </c>
      <c r="H4" s="6">
        <v>0.75</v>
      </c>
      <c r="I4" s="6">
        <v>0</v>
      </c>
      <c r="J4" s="6">
        <v>0.5</v>
      </c>
      <c r="K4" s="6">
        <v>0.5</v>
      </c>
      <c r="L4" s="6">
        <v>1</v>
      </c>
      <c r="M4" s="6">
        <v>0.33</v>
      </c>
      <c r="N4" s="6">
        <v>0</v>
      </c>
      <c r="O4" s="7">
        <f>SUM(ispit[[#This Row],[P1]]:ispit[[#This Row],[P10]])</f>
        <v>5.08</v>
      </c>
      <c r="P4" s="7"/>
      <c r="R4" s="1" t="s">
        <v>53</v>
      </c>
      <c r="S4" s="1">
        <v>3</v>
      </c>
    </row>
    <row r="5" spans="1:20" ht="15.6" x14ac:dyDescent="0.3">
      <c r="A5" s="6" t="s">
        <v>156</v>
      </c>
      <c r="B5" s="6" t="str">
        <f>"20"&amp;MID(ispit[[#This Row],[Email]],3,2)&amp;"/"&amp;MID(ispit[[#This Row],[Email]],5,4)</f>
        <v>2020/0459</v>
      </c>
      <c r="C5" s="6" t="str">
        <f>VLOOKUP(ispit[[#This Row],[Indeks]],spisakStudenata[],3,FALSE)</f>
        <v>Bojović Ana</v>
      </c>
      <c r="D5" s="6">
        <v>1</v>
      </c>
      <c r="E5" s="6">
        <v>1</v>
      </c>
      <c r="F5" s="6">
        <v>1</v>
      </c>
      <c r="G5" s="6">
        <v>1</v>
      </c>
      <c r="H5" s="6">
        <v>0.25</v>
      </c>
      <c r="I5" s="6">
        <v>0</v>
      </c>
      <c r="J5" s="6">
        <v>0.5</v>
      </c>
      <c r="K5" s="6">
        <v>0.75</v>
      </c>
      <c r="L5" s="6">
        <v>1</v>
      </c>
      <c r="M5" s="6">
        <v>0.67</v>
      </c>
      <c r="N5" s="6">
        <v>0</v>
      </c>
      <c r="O5" s="7">
        <f>SUM(ispit[[#This Row],[P1]]:ispit[[#This Row],[P10]])</f>
        <v>6.17</v>
      </c>
      <c r="P5" s="7"/>
      <c r="R5" s="1" t="s">
        <v>55</v>
      </c>
      <c r="S5" s="1">
        <v>4</v>
      </c>
    </row>
    <row r="6" spans="1:20" ht="15.6" x14ac:dyDescent="0.3">
      <c r="A6" s="6" t="s">
        <v>151</v>
      </c>
      <c r="B6" s="6" t="str">
        <f>"20"&amp;MID(ispit[[#This Row],[Email]],3,2)&amp;"/"&amp;MID(ispit[[#This Row],[Email]],5,4)</f>
        <v>2020/0627</v>
      </c>
      <c r="C6" s="6" t="str">
        <f>VLOOKUP(ispit[[#This Row],[Indeks]],spisakStudenata[],3,FALSE)</f>
        <v>Đurić Anja</v>
      </c>
      <c r="D6" s="6">
        <v>1</v>
      </c>
      <c r="E6" s="6">
        <v>1</v>
      </c>
      <c r="F6" s="6">
        <v>1</v>
      </c>
      <c r="G6" s="6">
        <v>1</v>
      </c>
      <c r="H6" s="6">
        <v>0.75</v>
      </c>
      <c r="I6" s="6">
        <v>0</v>
      </c>
      <c r="J6" s="6">
        <v>1</v>
      </c>
      <c r="K6" s="6">
        <v>0.5</v>
      </c>
      <c r="L6" s="6">
        <v>0</v>
      </c>
      <c r="M6" s="6">
        <v>0.67</v>
      </c>
      <c r="N6" s="6">
        <v>0</v>
      </c>
      <c r="O6" s="7">
        <f>SUM(ispit[[#This Row],[P1]]:ispit[[#This Row],[P10]])</f>
        <v>5.92</v>
      </c>
      <c r="P6" s="7"/>
      <c r="R6" s="1" t="s">
        <v>57</v>
      </c>
      <c r="S6" s="1">
        <v>6</v>
      </c>
    </row>
    <row r="7" spans="1:20" ht="15.6" x14ac:dyDescent="0.3">
      <c r="A7" s="6" t="s">
        <v>155</v>
      </c>
      <c r="B7" s="6" t="str">
        <f>"20"&amp;MID(ispit[[#This Row],[Email]],3,2)&amp;"/"&amp;MID(ispit[[#This Row],[Email]],5,4)</f>
        <v>2019/0649</v>
      </c>
      <c r="C7" s="6" t="str">
        <f>VLOOKUP(ispit[[#This Row],[Indeks]],spisakStudenata[],3,FALSE)</f>
        <v>Kurepa Anja</v>
      </c>
      <c r="D7" s="6">
        <v>1</v>
      </c>
      <c r="E7" s="6">
        <v>0</v>
      </c>
      <c r="F7" s="6">
        <v>1</v>
      </c>
      <c r="G7" s="6">
        <v>1</v>
      </c>
      <c r="H7" s="6">
        <v>0.25</v>
      </c>
      <c r="I7" s="6">
        <v>0</v>
      </c>
      <c r="J7" s="6">
        <v>1</v>
      </c>
      <c r="K7" s="6">
        <v>0.75</v>
      </c>
      <c r="L7" s="6">
        <v>0.8</v>
      </c>
      <c r="M7" s="6">
        <v>0.33</v>
      </c>
      <c r="N7" s="6">
        <v>1</v>
      </c>
      <c r="O7" s="7">
        <f>SUM(ispit[[#This Row],[P1]]:ispit[[#This Row],[P10]])</f>
        <v>6.13</v>
      </c>
      <c r="P7" s="7"/>
    </row>
    <row r="8" spans="1:20" ht="15.6" x14ac:dyDescent="0.3">
      <c r="A8" s="6" t="s">
        <v>162</v>
      </c>
      <c r="B8" s="6" t="str">
        <f>"20"&amp;MID(ispit[[#This Row],[Email]],3,2)&amp;"/"&amp;MID(ispit[[#This Row],[Email]],5,4)</f>
        <v>2019/0236</v>
      </c>
      <c r="C8" s="6" t="str">
        <f>VLOOKUP(ispit[[#This Row],[Indeks]],spisakStudenata[],3,FALSE)</f>
        <v>Spasojević Aleksandar</v>
      </c>
      <c r="D8" s="6">
        <v>1</v>
      </c>
      <c r="E8" s="6">
        <v>1</v>
      </c>
      <c r="F8" s="6">
        <v>1</v>
      </c>
      <c r="G8" s="6">
        <v>0.33</v>
      </c>
      <c r="H8" s="6">
        <v>1</v>
      </c>
      <c r="I8" s="6">
        <v>1</v>
      </c>
      <c r="J8" s="6">
        <v>1</v>
      </c>
      <c r="K8" s="6">
        <v>0.75</v>
      </c>
      <c r="L8" s="6">
        <v>0.2</v>
      </c>
      <c r="M8" s="6">
        <v>0.33</v>
      </c>
      <c r="N8" s="6">
        <v>0</v>
      </c>
      <c r="O8" s="7">
        <f>SUM(ispit[[#This Row],[P1]]:ispit[[#This Row],[P10]])</f>
        <v>6.61</v>
      </c>
      <c r="P8" s="7"/>
    </row>
    <row r="9" spans="1:20" ht="15.6" x14ac:dyDescent="0.3">
      <c r="A9" s="6" t="s">
        <v>180</v>
      </c>
      <c r="B9" s="6" t="str">
        <f>"20"&amp;MID(ispit[[#This Row],[Email]],3,2)&amp;"/"&amp;MID(ispit[[#This Row],[Email]],5,4)</f>
        <v>2020/0009</v>
      </c>
      <c r="C9" s="6" t="str">
        <f>VLOOKUP(ispit[[#This Row],[Indeks]],spisakStudenata[],3,FALSE)</f>
        <v>Zorić Ana</v>
      </c>
      <c r="D9" s="6">
        <v>1</v>
      </c>
      <c r="E9" s="6">
        <v>1</v>
      </c>
      <c r="F9" s="6">
        <v>1</v>
      </c>
      <c r="G9" s="6">
        <v>0.33</v>
      </c>
      <c r="H9" s="6">
        <v>0.5</v>
      </c>
      <c r="I9" s="6">
        <v>0</v>
      </c>
      <c r="J9" s="6">
        <v>1</v>
      </c>
      <c r="K9" s="6">
        <v>0.5</v>
      </c>
      <c r="L9" s="6">
        <v>0.2</v>
      </c>
      <c r="M9" s="6">
        <v>0.67</v>
      </c>
      <c r="N9" s="6">
        <v>0</v>
      </c>
      <c r="O9" s="7">
        <f>SUM(ispit[[#This Row],[P1]]:ispit[[#This Row],[P10]])</f>
        <v>5.2</v>
      </c>
      <c r="P9" s="7"/>
    </row>
    <row r="10" spans="1:20" ht="15.6" x14ac:dyDescent="0.3">
      <c r="A10" s="6" t="s">
        <v>150</v>
      </c>
      <c r="B10" s="6" t="str">
        <f>"20"&amp;MID(ispit[[#This Row],[Email]],3,2)&amp;"/"&amp;MID(ispit[[#This Row],[Email]],5,4)</f>
        <v>2020/0327</v>
      </c>
      <c r="C10" s="6" t="str">
        <f>VLOOKUP(ispit[[#This Row],[Indeks]],spisakStudenata[],3,FALSE)</f>
        <v>Jovanović Milena</v>
      </c>
      <c r="D10" s="6">
        <v>1</v>
      </c>
      <c r="E10" s="6">
        <v>1</v>
      </c>
      <c r="F10" s="6">
        <v>0</v>
      </c>
      <c r="G10" s="6">
        <v>1</v>
      </c>
      <c r="H10" s="6">
        <v>0.5</v>
      </c>
      <c r="I10" s="6">
        <v>0</v>
      </c>
      <c r="J10" s="6">
        <v>0.5</v>
      </c>
      <c r="K10" s="6">
        <v>0.5</v>
      </c>
      <c r="L10" s="6">
        <v>1</v>
      </c>
      <c r="M10" s="6">
        <v>0.33</v>
      </c>
      <c r="N10" s="6">
        <v>0</v>
      </c>
      <c r="O10" s="7">
        <f>SUM(ispit[[#This Row],[P1]]:ispit[[#This Row],[P10]])</f>
        <v>4.83</v>
      </c>
      <c r="P10" s="7"/>
    </row>
    <row r="11" spans="1:20" ht="15.6" x14ac:dyDescent="0.3">
      <c r="A11" s="6" t="s">
        <v>149</v>
      </c>
      <c r="B11" s="6" t="str">
        <f>"20"&amp;MID(ispit[[#This Row],[Email]],3,2)&amp;"/"&amp;MID(ispit[[#This Row],[Email]],5,4)</f>
        <v>2020/0108</v>
      </c>
      <c r="C11" s="6" t="str">
        <f>VLOOKUP(ispit[[#This Row],[Indeks]],spisakStudenata[],3,FALSE)</f>
        <v>Perić Dragan</v>
      </c>
      <c r="D11" s="6">
        <v>1</v>
      </c>
      <c r="E11" s="6">
        <v>1</v>
      </c>
      <c r="F11" s="6">
        <v>1</v>
      </c>
      <c r="G11" s="6">
        <v>1</v>
      </c>
      <c r="H11" s="6">
        <v>1</v>
      </c>
      <c r="I11" s="6">
        <v>0</v>
      </c>
      <c r="J11" s="6">
        <v>1</v>
      </c>
      <c r="K11" s="6">
        <v>0.5</v>
      </c>
      <c r="L11" s="6">
        <v>1</v>
      </c>
      <c r="M11" s="6">
        <v>0.67</v>
      </c>
      <c r="N11" s="6">
        <v>0</v>
      </c>
      <c r="O11" s="7">
        <f>SUM(ispit[[#This Row],[P1]]:ispit[[#This Row],[P10]])</f>
        <v>7.17</v>
      </c>
      <c r="P11" s="7"/>
    </row>
    <row r="12" spans="1:20" ht="15.6" x14ac:dyDescent="0.3">
      <c r="A12" s="6" t="s">
        <v>74</v>
      </c>
      <c r="B12" s="6" t="str">
        <f>"20"&amp;MID(ispit[[#This Row],[Email]],3,2)&amp;"/"&amp;MID(ispit[[#This Row],[Email]],5,4)</f>
        <v>2016/0270</v>
      </c>
      <c r="C12" s="6" t="str">
        <f>VLOOKUP(ispit[[#This Row],[Indeks]],spisakStudenata[],3,FALSE)</f>
        <v>Janevski Ivan</v>
      </c>
      <c r="D12" s="6">
        <v>1</v>
      </c>
      <c r="E12" s="6">
        <v>1</v>
      </c>
      <c r="F12" s="6">
        <v>0</v>
      </c>
      <c r="G12" s="6">
        <v>0.33</v>
      </c>
      <c r="H12" s="6">
        <v>1</v>
      </c>
      <c r="I12" s="6">
        <v>0</v>
      </c>
      <c r="J12" s="6">
        <v>1</v>
      </c>
      <c r="K12" s="6">
        <v>0.5</v>
      </c>
      <c r="L12" s="6">
        <v>0.4</v>
      </c>
      <c r="M12" s="6">
        <v>0.67</v>
      </c>
      <c r="N12" s="6">
        <v>0</v>
      </c>
      <c r="O12" s="7">
        <f>SUM(ispit[[#This Row],[P1]]:ispit[[#This Row],[P10]])</f>
        <v>4.9000000000000004</v>
      </c>
      <c r="P12" s="7"/>
    </row>
    <row r="13" spans="1:20" ht="15.6" x14ac:dyDescent="0.3">
      <c r="A13" s="6" t="s">
        <v>161</v>
      </c>
      <c r="B13" s="6" t="str">
        <f>"20"&amp;MID(ispit[[#This Row],[Email]],3,2)&amp;"/"&amp;MID(ispit[[#This Row],[Email]],5,4)</f>
        <v>2019/0607</v>
      </c>
      <c r="C13" s="6" t="str">
        <f>VLOOKUP(ispit[[#This Row],[Indeks]],spisakStudenata[],3,FALSE)</f>
        <v>Mandušić Danilo</v>
      </c>
      <c r="D13" s="6">
        <v>1</v>
      </c>
      <c r="E13" s="6">
        <v>0</v>
      </c>
      <c r="F13" s="6">
        <v>0</v>
      </c>
      <c r="G13" s="6">
        <v>0.33</v>
      </c>
      <c r="H13" s="6">
        <v>0.25</v>
      </c>
      <c r="I13" s="6">
        <v>0</v>
      </c>
      <c r="J13" s="6">
        <v>0.5</v>
      </c>
      <c r="K13" s="6">
        <v>0.25</v>
      </c>
      <c r="L13" s="6">
        <v>0.4</v>
      </c>
      <c r="M13" s="6">
        <v>0.33</v>
      </c>
      <c r="N13" s="6">
        <v>0</v>
      </c>
      <c r="O13" s="7">
        <f>SUM(ispit[[#This Row],[P1]]:ispit[[#This Row],[P10]])</f>
        <v>2.06</v>
      </c>
      <c r="P13" s="7"/>
    </row>
    <row r="14" spans="1:20" ht="15.6" x14ac:dyDescent="0.3">
      <c r="A14" s="6" t="s">
        <v>181</v>
      </c>
      <c r="B14" s="6" t="str">
        <f>"20"&amp;MID(ispit[[#This Row],[Email]],3,2)&amp;"/"&amp;MID(ispit[[#This Row],[Email]],5,4)</f>
        <v>2018/0719</v>
      </c>
      <c r="C14" s="6" t="str">
        <f>VLOOKUP(ispit[[#This Row],[Indeks]],spisakStudenata[],3,FALSE)</f>
        <v>Marjanović Ivana</v>
      </c>
      <c r="D14" s="6">
        <v>1</v>
      </c>
      <c r="E14" s="6">
        <v>1</v>
      </c>
      <c r="F14" s="6">
        <v>0</v>
      </c>
      <c r="G14" s="6">
        <v>0.33</v>
      </c>
      <c r="H14" s="6">
        <v>0.25</v>
      </c>
      <c r="I14" s="6">
        <v>0</v>
      </c>
      <c r="J14" s="6">
        <v>0.5</v>
      </c>
      <c r="K14" s="6">
        <v>0</v>
      </c>
      <c r="L14" s="6">
        <v>0.2</v>
      </c>
      <c r="M14" s="6">
        <v>0.67</v>
      </c>
      <c r="N14" s="6">
        <v>0</v>
      </c>
      <c r="O14" s="7">
        <f>SUM(ispit[[#This Row],[P1]]:ispit[[#This Row],[P10]])</f>
        <v>2.95</v>
      </c>
      <c r="P14" s="7"/>
    </row>
    <row r="15" spans="1:20" ht="15.6" x14ac:dyDescent="0.3">
      <c r="A15" s="6" t="s">
        <v>159</v>
      </c>
      <c r="B15" s="6" t="str">
        <f>"20"&amp;MID(ispit[[#This Row],[Email]],3,2)&amp;"/"&amp;MID(ispit[[#This Row],[Email]],5,4)</f>
        <v>2019/0385</v>
      </c>
      <c r="C15" s="6" t="str">
        <f>VLOOKUP(ispit[[#This Row],[Indeks]],spisakStudenata[],3,FALSE)</f>
        <v>Kovačević Miloš</v>
      </c>
      <c r="D15" s="6">
        <v>1</v>
      </c>
      <c r="E15" s="6">
        <v>0</v>
      </c>
      <c r="F15" s="6">
        <v>1</v>
      </c>
      <c r="G15" s="6">
        <v>1</v>
      </c>
      <c r="H15" s="6">
        <v>0.75</v>
      </c>
      <c r="I15" s="6">
        <v>0</v>
      </c>
      <c r="J15" s="6">
        <v>1</v>
      </c>
      <c r="K15" s="6">
        <v>0.75</v>
      </c>
      <c r="L15" s="6">
        <v>1</v>
      </c>
      <c r="M15" s="6">
        <v>0.33</v>
      </c>
      <c r="N15" s="6">
        <v>0</v>
      </c>
      <c r="O15" s="7">
        <f>SUM(ispit[[#This Row],[P1]]:ispit[[#This Row],[P10]])</f>
        <v>5.83</v>
      </c>
      <c r="P15" s="7"/>
    </row>
    <row r="16" spans="1:20" ht="15.6" x14ac:dyDescent="0.3">
      <c r="A16" s="6" t="s">
        <v>173</v>
      </c>
      <c r="B16" s="6" t="str">
        <f>"20"&amp;MID(ispit[[#This Row],[Email]],3,2)&amp;"/"&amp;MID(ispit[[#This Row],[Email]],5,4)</f>
        <v>2017/0140</v>
      </c>
      <c r="C16" s="6" t="str">
        <f>VLOOKUP(ispit[[#This Row],[Indeks]],spisakStudenata[],3,FALSE)</f>
        <v>Radulović Vuk</v>
      </c>
      <c r="D16" s="6">
        <v>1</v>
      </c>
      <c r="E16" s="6">
        <v>0</v>
      </c>
      <c r="F16" s="6">
        <v>0</v>
      </c>
      <c r="G16" s="6">
        <v>0.33</v>
      </c>
      <c r="H16" s="6">
        <v>0.5</v>
      </c>
      <c r="I16" s="6">
        <v>0</v>
      </c>
      <c r="J16" s="6">
        <v>0.25</v>
      </c>
      <c r="K16" s="6">
        <v>0.5</v>
      </c>
      <c r="L16" s="6">
        <v>1</v>
      </c>
      <c r="M16" s="6">
        <v>0</v>
      </c>
      <c r="N16" s="6">
        <v>0</v>
      </c>
      <c r="O16" s="7">
        <f>SUM(ispit[[#This Row],[P1]]:ispit[[#This Row],[P10]])</f>
        <v>2.58</v>
      </c>
      <c r="P16" s="7"/>
    </row>
    <row r="17" spans="1:16" ht="15.6" x14ac:dyDescent="0.3">
      <c r="A17" s="6" t="s">
        <v>75</v>
      </c>
      <c r="B17" s="6" t="str">
        <f>"20"&amp;MID(ispit[[#This Row],[Email]],3,2)&amp;"/"&amp;MID(ispit[[#This Row],[Email]],5,4)</f>
        <v>2018/0660</v>
      </c>
      <c r="C17" s="6" t="str">
        <f>VLOOKUP(ispit[[#This Row],[Indeks]],spisakStudenata[],3,FALSE)</f>
        <v>Milošević Isidora</v>
      </c>
      <c r="D17" s="6">
        <v>1</v>
      </c>
      <c r="E17" s="6">
        <v>0</v>
      </c>
      <c r="F17" s="6">
        <v>1</v>
      </c>
      <c r="G17" s="6">
        <v>1</v>
      </c>
      <c r="H17" s="6">
        <v>0.25</v>
      </c>
      <c r="I17" s="6">
        <v>0</v>
      </c>
      <c r="J17" s="6">
        <v>1</v>
      </c>
      <c r="K17" s="6">
        <v>0.75</v>
      </c>
      <c r="L17" s="6">
        <v>1</v>
      </c>
      <c r="M17" s="6">
        <v>0</v>
      </c>
      <c r="N17" s="6">
        <v>0</v>
      </c>
      <c r="O17" s="7">
        <f>SUM(ispit[[#This Row],[P1]]:ispit[[#This Row],[P10]])</f>
        <v>5</v>
      </c>
      <c r="P17" s="7"/>
    </row>
    <row r="18" spans="1:16" ht="15.6" x14ac:dyDescent="0.3">
      <c r="A18" s="6" t="s">
        <v>153</v>
      </c>
      <c r="B18" s="6" t="str">
        <f>"20"&amp;MID(ispit[[#This Row],[Email]],3,2)&amp;"/"&amp;MID(ispit[[#This Row],[Email]],5,4)</f>
        <v>2019/0068</v>
      </c>
      <c r="C18" s="6" t="str">
        <f>VLOOKUP(ispit[[#This Row],[Indeks]],spisakStudenata[],3,FALSE)</f>
        <v>Stefanović Marija</v>
      </c>
      <c r="D18" s="6">
        <v>1</v>
      </c>
      <c r="E18" s="6">
        <v>0</v>
      </c>
      <c r="F18" s="6">
        <v>1</v>
      </c>
      <c r="G18" s="6">
        <v>1</v>
      </c>
      <c r="H18" s="6">
        <v>0.75</v>
      </c>
      <c r="I18" s="6">
        <v>0</v>
      </c>
      <c r="J18" s="6">
        <v>0.5</v>
      </c>
      <c r="K18" s="6">
        <v>1</v>
      </c>
      <c r="L18" s="6">
        <v>1</v>
      </c>
      <c r="M18" s="6">
        <v>1</v>
      </c>
      <c r="N18" s="6">
        <v>0</v>
      </c>
      <c r="O18" s="7">
        <f>SUM(ispit[[#This Row],[P1]]:ispit[[#This Row],[P10]])</f>
        <v>6.25</v>
      </c>
      <c r="P18" s="7"/>
    </row>
    <row r="19" spans="1:16" ht="15.6" x14ac:dyDescent="0.3">
      <c r="A19" s="6" t="s">
        <v>182</v>
      </c>
      <c r="B19" s="6" t="str">
        <f>"20"&amp;MID(ispit[[#This Row],[Email]],3,2)&amp;"/"&amp;MID(ispit[[#This Row],[Email]],5,4)</f>
        <v>2019/0022</v>
      </c>
      <c r="C19" s="6" t="str">
        <f>VLOOKUP(ispit[[#This Row],[Indeks]],spisakStudenata[],3,FALSE)</f>
        <v>Jovanović Maja</v>
      </c>
      <c r="D19" s="6">
        <v>1</v>
      </c>
      <c r="E19" s="6">
        <v>1</v>
      </c>
      <c r="F19" s="6">
        <v>1</v>
      </c>
      <c r="G19" s="6">
        <v>1</v>
      </c>
      <c r="H19" s="6">
        <v>1</v>
      </c>
      <c r="I19" s="6">
        <v>0</v>
      </c>
      <c r="J19" s="6">
        <v>1</v>
      </c>
      <c r="K19" s="6">
        <v>0.75</v>
      </c>
      <c r="L19" s="6">
        <v>0</v>
      </c>
      <c r="M19" s="6">
        <v>0</v>
      </c>
      <c r="N19" s="6">
        <v>0</v>
      </c>
      <c r="O19" s="7">
        <f>SUM(ispit[[#This Row],[P1]]:ispit[[#This Row],[P10]])</f>
        <v>5.75</v>
      </c>
      <c r="P19" s="7"/>
    </row>
    <row r="20" spans="1:16" ht="15.6" x14ac:dyDescent="0.3">
      <c r="A20" s="6" t="s">
        <v>164</v>
      </c>
      <c r="B20" s="6" t="str">
        <f>"20"&amp;MID(ispit[[#This Row],[Email]],3,2)&amp;"/"&amp;MID(ispit[[#This Row],[Email]],5,4)</f>
        <v>2019/0487</v>
      </c>
      <c r="C20" s="6" t="str">
        <f>VLOOKUP(ispit[[#This Row],[Indeks]],spisakStudenata[],3,FALSE)</f>
        <v>Mikanović Darko</v>
      </c>
      <c r="D20" s="6">
        <v>1</v>
      </c>
      <c r="E20" s="6">
        <v>1</v>
      </c>
      <c r="F20" s="6">
        <v>1</v>
      </c>
      <c r="G20" s="6">
        <v>1</v>
      </c>
      <c r="H20" s="6">
        <v>1</v>
      </c>
      <c r="I20" s="6">
        <v>0</v>
      </c>
      <c r="J20" s="6">
        <v>0.25</v>
      </c>
      <c r="K20" s="6">
        <v>0.75</v>
      </c>
      <c r="L20" s="6">
        <v>1</v>
      </c>
      <c r="M20" s="6">
        <v>0.67</v>
      </c>
      <c r="N20" s="6">
        <v>0</v>
      </c>
      <c r="O20" s="7">
        <f>SUM(ispit[[#This Row],[P1]]:ispit[[#This Row],[P10]])</f>
        <v>6.67</v>
      </c>
      <c r="P20" s="7"/>
    </row>
    <row r="21" spans="1:16" ht="15.6" x14ac:dyDescent="0.3">
      <c r="A21" s="6" t="s">
        <v>74</v>
      </c>
      <c r="B21" s="6" t="str">
        <f>"20"&amp;MID(ispit[[#This Row],[Email]],3,2)&amp;"/"&amp;MID(ispit[[#This Row],[Email]],5,4)</f>
        <v>2016/0270</v>
      </c>
      <c r="C21" s="6" t="str">
        <f>VLOOKUP(ispit[[#This Row],[Indeks]],spisakStudenata[],3,FALSE)</f>
        <v>Janevski Ivan</v>
      </c>
      <c r="D21" s="6">
        <v>2</v>
      </c>
      <c r="E21" s="6">
        <v>0.67</v>
      </c>
      <c r="F21" s="6">
        <v>0</v>
      </c>
      <c r="G21" s="6">
        <v>0.6</v>
      </c>
      <c r="H21" s="6">
        <v>1</v>
      </c>
      <c r="I21" s="6">
        <v>0.67</v>
      </c>
      <c r="J21" s="6">
        <v>0</v>
      </c>
      <c r="K21" s="6">
        <v>0</v>
      </c>
      <c r="L21" s="6">
        <v>1</v>
      </c>
      <c r="M21" s="6">
        <v>0</v>
      </c>
      <c r="N21" s="6">
        <v>0</v>
      </c>
      <c r="O21" s="7">
        <f>SUM(ispit[[#This Row],[P1]]:ispit[[#This Row],[P10]])</f>
        <v>3.94</v>
      </c>
      <c r="P21" s="7"/>
    </row>
    <row r="22" spans="1:16" ht="15.6" x14ac:dyDescent="0.3">
      <c r="A22" s="6" t="s">
        <v>181</v>
      </c>
      <c r="B22" s="6" t="str">
        <f>"20"&amp;MID(ispit[[#This Row],[Email]],3,2)&amp;"/"&amp;MID(ispit[[#This Row],[Email]],5,4)</f>
        <v>2018/0719</v>
      </c>
      <c r="C22" s="6" t="str">
        <f>VLOOKUP(ispit[[#This Row],[Indeks]],spisakStudenata[],3,FALSE)</f>
        <v>Marjanović Ivana</v>
      </c>
      <c r="D22" s="6">
        <v>2</v>
      </c>
      <c r="E22" s="6">
        <v>0</v>
      </c>
      <c r="F22" s="6">
        <v>0</v>
      </c>
      <c r="G22" s="6">
        <v>0.6</v>
      </c>
      <c r="H22" s="6">
        <v>0</v>
      </c>
      <c r="I22" s="6">
        <v>0.17</v>
      </c>
      <c r="J22" s="6">
        <v>0</v>
      </c>
      <c r="K22" s="6">
        <v>0</v>
      </c>
      <c r="L22" s="6">
        <v>0</v>
      </c>
      <c r="M22" s="6">
        <v>0</v>
      </c>
      <c r="N22" s="6">
        <v>1</v>
      </c>
      <c r="O22" s="7">
        <f>SUM(ispit[[#This Row],[P1]]:ispit[[#This Row],[P10]])</f>
        <v>1.77</v>
      </c>
      <c r="P22" s="7"/>
    </row>
    <row r="23" spans="1:16" ht="15.6" x14ac:dyDescent="0.3">
      <c r="A23" s="6" t="s">
        <v>165</v>
      </c>
      <c r="B23" s="6" t="str">
        <f>"20"&amp;MID(ispit[[#This Row],[Email]],3,2)&amp;"/"&amp;MID(ispit[[#This Row],[Email]],5,4)</f>
        <v>2019/0731</v>
      </c>
      <c r="C23" s="6" t="str">
        <f>VLOOKUP(ispit[[#This Row],[Indeks]],spisakStudenata[],3,FALSE)</f>
        <v>Dragutinović Marko</v>
      </c>
      <c r="D23" s="6">
        <v>2</v>
      </c>
      <c r="E23" s="6">
        <v>1</v>
      </c>
      <c r="F23" s="6">
        <v>0</v>
      </c>
      <c r="G23" s="6">
        <v>0.6</v>
      </c>
      <c r="H23" s="6">
        <v>1</v>
      </c>
      <c r="I23" s="6">
        <v>0.67</v>
      </c>
      <c r="J23" s="6">
        <v>0</v>
      </c>
      <c r="K23" s="6">
        <v>0</v>
      </c>
      <c r="L23" s="6">
        <v>0</v>
      </c>
      <c r="M23" s="6">
        <v>0</v>
      </c>
      <c r="N23" s="6">
        <v>1</v>
      </c>
      <c r="O23" s="7">
        <f>SUM(ispit[[#This Row],[P1]]:ispit[[#This Row],[P10]])</f>
        <v>4.2699999999999996</v>
      </c>
      <c r="P23" s="7"/>
    </row>
    <row r="24" spans="1:16" ht="15.6" x14ac:dyDescent="0.3">
      <c r="A24" s="6" t="s">
        <v>161</v>
      </c>
      <c r="B24" s="6" t="str">
        <f>"20"&amp;MID(ispit[[#This Row],[Email]],3,2)&amp;"/"&amp;MID(ispit[[#This Row],[Email]],5,4)</f>
        <v>2019/0607</v>
      </c>
      <c r="C24" s="6" t="str">
        <f>VLOOKUP(ispit[[#This Row],[Indeks]],spisakStudenata[],3,FALSE)</f>
        <v>Mandušić Danilo</v>
      </c>
      <c r="D24" s="6">
        <v>3</v>
      </c>
      <c r="E24" s="11">
        <v>1</v>
      </c>
      <c r="F24" s="11">
        <v>0.25</v>
      </c>
      <c r="G24" s="11">
        <v>0</v>
      </c>
      <c r="H24" s="11">
        <v>0</v>
      </c>
      <c r="I24" s="11">
        <v>0.5</v>
      </c>
      <c r="J24" s="11">
        <v>0.5</v>
      </c>
      <c r="K24" s="11">
        <v>0</v>
      </c>
      <c r="L24" s="11">
        <v>0</v>
      </c>
      <c r="M24" s="11">
        <v>0.5</v>
      </c>
      <c r="N24" s="6">
        <v>0</v>
      </c>
      <c r="O24" s="7">
        <f>SUM(ispit[[#This Row],[P1]]:ispit[[#This Row],[P10]])</f>
        <v>2.75</v>
      </c>
      <c r="P24" s="7"/>
    </row>
    <row r="25" spans="1:16" ht="15.6" x14ac:dyDescent="0.3">
      <c r="A25" s="6" t="s">
        <v>173</v>
      </c>
      <c r="B25" s="6" t="str">
        <f>"20"&amp;MID(ispit[[#This Row],[Email]],3,2)&amp;"/"&amp;MID(ispit[[#This Row],[Email]],5,4)</f>
        <v>2017/0140</v>
      </c>
      <c r="C25" s="6" t="str">
        <f>VLOOKUP(ispit[[#This Row],[Indeks]],spisakStudenata[],3,FALSE)</f>
        <v>Radulović Vuk</v>
      </c>
      <c r="D25" s="6">
        <v>3</v>
      </c>
      <c r="E25" s="11">
        <v>1</v>
      </c>
      <c r="F25" s="11">
        <v>1</v>
      </c>
      <c r="G25" s="11">
        <v>0</v>
      </c>
      <c r="H25" s="11">
        <v>1</v>
      </c>
      <c r="I25" s="11">
        <v>0.5</v>
      </c>
      <c r="J25" s="11">
        <v>1</v>
      </c>
      <c r="K25" s="11">
        <v>1</v>
      </c>
      <c r="L25" s="11">
        <v>0</v>
      </c>
      <c r="M25" s="11">
        <v>1</v>
      </c>
      <c r="N25" s="6">
        <v>0</v>
      </c>
      <c r="O25" s="7">
        <f>SUM(ispit[[#This Row],[P1]]:ispit[[#This Row],[P10]])</f>
        <v>6.5</v>
      </c>
      <c r="P25" s="7"/>
    </row>
    <row r="26" spans="1:16" ht="15.6" x14ac:dyDescent="0.3">
      <c r="A26" s="6" t="s">
        <v>181</v>
      </c>
      <c r="B26" s="6" t="str">
        <f>"20"&amp;MID(ispit[[#This Row],[Email]],3,2)&amp;"/"&amp;MID(ispit[[#This Row],[Email]],5,4)</f>
        <v>2018/0719</v>
      </c>
      <c r="C26" s="6" t="str">
        <f>VLOOKUP(ispit[[#This Row],[Indeks]],spisakStudenata[],3,FALSE)</f>
        <v>Marjanović Ivana</v>
      </c>
      <c r="D26" s="6">
        <v>4</v>
      </c>
      <c r="E26" s="6">
        <v>0</v>
      </c>
      <c r="F26" s="6">
        <v>0</v>
      </c>
      <c r="G26" s="6">
        <v>0</v>
      </c>
      <c r="H26" s="6">
        <v>0</v>
      </c>
      <c r="I26" s="6">
        <v>0.33</v>
      </c>
      <c r="J26" s="7">
        <v>0</v>
      </c>
      <c r="K26" s="6">
        <v>0</v>
      </c>
      <c r="L26" s="6">
        <v>1</v>
      </c>
      <c r="M26" s="6">
        <v>0</v>
      </c>
      <c r="N26" s="6">
        <v>0.5</v>
      </c>
      <c r="O26" s="7">
        <f>SUM(ispit[[#This Row],[P1]]:ispit[[#This Row],[P10]])</f>
        <v>1.83</v>
      </c>
      <c r="P26" s="7"/>
    </row>
    <row r="27" spans="1:16" ht="15.6" x14ac:dyDescent="0.3">
      <c r="A27" s="6" t="s">
        <v>161</v>
      </c>
      <c r="B27" s="6" t="str">
        <f>"20"&amp;MID(ispit[[#This Row],[Email]],3,2)&amp;"/"&amp;MID(ispit[[#This Row],[Email]],5,4)</f>
        <v>2019/0607</v>
      </c>
      <c r="C27" s="6" t="str">
        <f>VLOOKUP(ispit[[#This Row],[Indeks]],spisakStudenata[],3,FALSE)</f>
        <v>Mandušić Danilo</v>
      </c>
      <c r="D27" s="6">
        <v>4</v>
      </c>
      <c r="E27" s="6">
        <v>0</v>
      </c>
      <c r="F27" s="6">
        <v>0.5</v>
      </c>
      <c r="G27" s="6">
        <v>0.33</v>
      </c>
      <c r="H27" s="6">
        <v>0.33</v>
      </c>
      <c r="I27" s="6">
        <v>0.67</v>
      </c>
      <c r="J27" s="6">
        <v>0</v>
      </c>
      <c r="K27" s="6">
        <v>0.5</v>
      </c>
      <c r="L27" s="6">
        <v>1</v>
      </c>
      <c r="M27" s="6">
        <v>1</v>
      </c>
      <c r="N27" s="6">
        <v>0.5</v>
      </c>
      <c r="O27" s="7">
        <f>SUM(ispit[[#This Row],[P1]]:ispit[[#This Row],[P10]])</f>
        <v>4.83</v>
      </c>
      <c r="P27" s="7"/>
    </row>
    <row r="28" spans="1:16" ht="15.6" x14ac:dyDescent="0.3">
      <c r="A28" s="6" t="s">
        <v>187</v>
      </c>
      <c r="B28" s="6" t="str">
        <f>"20"&amp;MID(ispit[[#This Row],[Email]],3,2)&amp;"/"&amp;MID(ispit[[#This Row],[Email]],5,4)</f>
        <v>2021/3373</v>
      </c>
      <c r="C28" s="6" t="str">
        <f>VLOOKUP(ispit[[#This Row],[Indeks]],spisakStudenata[],3,FALSE)</f>
        <v>Mihailo Folić</v>
      </c>
      <c r="D28" s="6">
        <v>4</v>
      </c>
      <c r="E28" s="6">
        <v>1</v>
      </c>
      <c r="F28" s="6">
        <v>0.5</v>
      </c>
      <c r="G28" s="6">
        <v>0.33</v>
      </c>
      <c r="H28" s="6">
        <v>0.67</v>
      </c>
      <c r="I28" s="6">
        <v>0.67</v>
      </c>
      <c r="J28" s="6">
        <v>0</v>
      </c>
      <c r="K28" s="6">
        <v>0</v>
      </c>
      <c r="L28" s="6">
        <v>1</v>
      </c>
      <c r="M28" s="6">
        <v>1</v>
      </c>
      <c r="N28" s="6">
        <v>0</v>
      </c>
      <c r="O28" s="7">
        <f>SUM(ispit[[#This Row],[P1]]:ispit[[#This Row],[P10]])</f>
        <v>5.17</v>
      </c>
      <c r="P28" s="7"/>
    </row>
    <row r="29" spans="1:16" ht="15.6" x14ac:dyDescent="0.3">
      <c r="A29" s="6" t="s">
        <v>158</v>
      </c>
      <c r="B29" s="6" t="str">
        <f>"20"&amp;MID(ispit[[#This Row],[Email]],3,2)&amp;"/"&amp;MID(ispit[[#This Row],[Email]],5,4)</f>
        <v>2020/0253</v>
      </c>
      <c r="C29" s="6" t="str">
        <f>VLOOKUP(ispit[[#This Row],[Indeks]],spisakStudenata[],3,FALSE)</f>
        <v>Majstorović Ljubica</v>
      </c>
      <c r="D29" s="6">
        <v>4</v>
      </c>
      <c r="E29" s="6">
        <v>1</v>
      </c>
      <c r="F29" s="6">
        <v>1</v>
      </c>
      <c r="G29" s="6">
        <v>1</v>
      </c>
      <c r="H29" s="6">
        <v>0.67</v>
      </c>
      <c r="I29" s="6">
        <v>1</v>
      </c>
      <c r="J29" s="6">
        <v>0.5</v>
      </c>
      <c r="K29" s="6">
        <v>0</v>
      </c>
      <c r="L29" s="6">
        <v>1</v>
      </c>
      <c r="M29" s="6">
        <v>0</v>
      </c>
      <c r="N29" s="6">
        <v>0</v>
      </c>
      <c r="O29" s="7">
        <f>SUM(ispit[[#This Row],[P1]]:ispit[[#This Row],[P10]])</f>
        <v>6.17</v>
      </c>
      <c r="P29" s="7"/>
    </row>
    <row r="30" spans="1:16" ht="15.6" x14ac:dyDescent="0.3">
      <c r="A30" s="6"/>
      <c r="B30" s="6" t="str">
        <f>"20"&amp;MID(ispit[[#This Row],[Email]],3,2)&amp;"/"&amp;MID(ispit[[#This Row],[Email]],5,4)</f>
        <v>20/</v>
      </c>
      <c r="C30" s="6" t="e">
        <f>VLOOKUP(ispit[[#This Row],[Indeks]],spisakStudenata[],3,FALSE)</f>
        <v>#N/A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7">
        <f>SUM(ispit[[#This Row],[P1]]:ispit[[#This Row],[P10]])</f>
        <v>0</v>
      </c>
      <c r="P30" s="7"/>
    </row>
    <row r="31" spans="1:16" ht="15.6" x14ac:dyDescent="0.3">
      <c r="A31" s="6"/>
      <c r="B31" s="6" t="str">
        <f>"20"&amp;MID(ispit[[#This Row],[Email]],3,2)&amp;"/"&amp;MID(ispit[[#This Row],[Email]],5,4)</f>
        <v>20/</v>
      </c>
      <c r="C31" s="6" t="e">
        <f>VLOOKUP(ispit[[#This Row],[Indeks]],spisakStudenata[],3,FALSE)</f>
        <v>#N/A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11"/>
      <c r="O31" s="7">
        <f>SUM(ispit[[#This Row],[P1]]:ispit[[#This Row],[P10]])</f>
        <v>0</v>
      </c>
      <c r="P31" s="7"/>
    </row>
    <row r="32" spans="1:16" ht="15.6" x14ac:dyDescent="0.3">
      <c r="A32" s="6"/>
      <c r="B32" s="6" t="str">
        <f>"20"&amp;MID(ispit[[#This Row],[Email]],3,2)&amp;"/"&amp;MID(ispit[[#This Row],[Email]],5,4)</f>
        <v>20/</v>
      </c>
      <c r="C32" s="6" t="e">
        <f>VLOOKUP(ispit[[#This Row],[Indeks]],spisakStudenata[],3,FALSE)</f>
        <v>#N/A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11"/>
      <c r="O32" s="7">
        <f>SUM(ispit[[#This Row],[P1]]:ispit[[#This Row],[P10]])</f>
        <v>0</v>
      </c>
      <c r="P32" s="7"/>
    </row>
    <row r="33" spans="1:16" ht="15.6" x14ac:dyDescent="0.3">
      <c r="A33" s="6"/>
      <c r="B33" s="6" t="str">
        <f>"20"&amp;MID(ispit[[#This Row],[Email]],3,2)&amp;"/"&amp;MID(ispit[[#This Row],[Email]],5,4)</f>
        <v>20/</v>
      </c>
      <c r="C33" s="6" t="e">
        <f>VLOOKUP(ispit[[#This Row],[Indeks]],spisakStudenata[],3,FALSE)</f>
        <v>#N/A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11"/>
      <c r="O33" s="7">
        <f>SUM(ispit[[#This Row],[P1]]:ispit[[#This Row],[P10]])</f>
        <v>0</v>
      </c>
      <c r="P33" s="7"/>
    </row>
    <row r="34" spans="1:16" ht="15.6" x14ac:dyDescent="0.3">
      <c r="A34" s="6"/>
      <c r="B34" s="6" t="str">
        <f>"20"&amp;MID(ispit[[#This Row],[Email]],3,2)&amp;"/"&amp;MID(ispit[[#This Row],[Email]],5,4)</f>
        <v>20/</v>
      </c>
      <c r="C34" s="6" t="e">
        <f>VLOOKUP(ispit[[#This Row],[Indeks]],spisakStudenata[],3,FALSE)</f>
        <v>#N/A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7">
        <f>SUM(ispit[[#This Row],[P1]]:ispit[[#This Row],[P10]])</f>
        <v>0</v>
      </c>
      <c r="P34" s="7"/>
    </row>
    <row r="35" spans="1:16" ht="15.6" x14ac:dyDescent="0.3">
      <c r="A35" s="6"/>
      <c r="B35" s="6" t="str">
        <f>"20"&amp;MID(ispit[[#This Row],[Email]],3,2)&amp;"/"&amp;MID(ispit[[#This Row],[Email]],5,4)</f>
        <v>20/</v>
      </c>
      <c r="C35" s="6" t="e">
        <f>VLOOKUP(ispit[[#This Row],[Indeks]],spisakStudenata[],3,FALSE)</f>
        <v>#N/A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>
        <f>SUM(ispit[[#This Row],[P1]]:ispit[[#This Row],[P10]])</f>
        <v>0</v>
      </c>
      <c r="P35" s="6"/>
    </row>
    <row r="36" spans="1:16" ht="15.6" x14ac:dyDescent="0.3">
      <c r="A36" s="6"/>
      <c r="B36" s="6" t="str">
        <f>"20"&amp;MID(ispit[[#This Row],[Email]],3,2)&amp;"/"&amp;MID(ispit[[#This Row],[Email]],5,4)</f>
        <v>20/</v>
      </c>
      <c r="C36" s="6" t="e">
        <f>VLOOKUP(ispit[[#This Row],[Indeks]],spisakStudenata[],3,FALSE)</f>
        <v>#N/A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>
        <f>SUM(ispit[[#This Row],[P1]]:ispit[[#This Row],[P10]])</f>
        <v>0</v>
      </c>
      <c r="P36" s="6"/>
    </row>
    <row r="37" spans="1:16" ht="15.6" x14ac:dyDescent="0.3">
      <c r="A37" s="6"/>
      <c r="B37" s="6" t="str">
        <f>"20"&amp;MID(ispit[[#This Row],[Email]],3,2)&amp;"/"&amp;MID(ispit[[#This Row],[Email]],5,4)</f>
        <v>20/</v>
      </c>
      <c r="C37" s="6" t="e">
        <f>VLOOKUP(ispit[[#This Row],[Indeks]],spisakStudenata[],3,FALSE)</f>
        <v>#N/A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>
        <f>SUM(ispit[[#This Row],[P1]]:ispit[[#This Row],[P10]])</f>
        <v>0</v>
      </c>
      <c r="P37" s="6"/>
    </row>
    <row r="38" spans="1:16" ht="15.6" x14ac:dyDescent="0.3">
      <c r="A38" s="6"/>
      <c r="B38" s="6" t="str">
        <f>"20"&amp;MID(ispit[[#This Row],[Email]],3,2)&amp;"/"&amp;MID(ispit[[#This Row],[Email]],5,4)</f>
        <v>20/</v>
      </c>
      <c r="C38" s="6" t="e">
        <f>VLOOKUP(ispit[[#This Row],[Indeks]],spisakStudenata[],3,FALSE)</f>
        <v>#N/A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>
        <f>SUM(ispit[[#This Row],[P1]]:ispit[[#This Row],[P10]])</f>
        <v>0</v>
      </c>
      <c r="P38" s="6"/>
    </row>
    <row r="39" spans="1:16" ht="15.6" x14ac:dyDescent="0.3">
      <c r="A39" s="6"/>
      <c r="B39" s="6" t="str">
        <f>"20"&amp;MID(ispit[[#This Row],[Email]],3,2)&amp;"/"&amp;MID(ispit[[#This Row],[Email]],5,4)</f>
        <v>20/</v>
      </c>
      <c r="C39" s="6" t="e">
        <f>VLOOKUP(ispit[[#This Row],[Indeks]],spisakStudenata[],3,FALSE)</f>
        <v>#N/A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>
        <f>SUM(ispit[[#This Row],[P1]]:ispit[[#This Row],[P10]])</f>
        <v>0</v>
      </c>
      <c r="P39" s="6"/>
    </row>
    <row r="40" spans="1:16" ht="15.6" x14ac:dyDescent="0.3">
      <c r="A40" s="6"/>
      <c r="B40" s="6" t="str">
        <f>"20"&amp;MID(ispit[[#This Row],[Email]],3,2)&amp;"/"&amp;MID(ispit[[#This Row],[Email]],5,4)</f>
        <v>20/</v>
      </c>
      <c r="C40" s="6" t="e">
        <f>VLOOKUP(ispit[[#This Row],[Indeks]],spisakStudenata[],3,FALSE)</f>
        <v>#N/A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>
        <f>SUM(ispit[[#This Row],[P1]]:ispit[[#This Row],[P10]])</f>
        <v>0</v>
      </c>
      <c r="P40" s="6"/>
    </row>
    <row r="41" spans="1:16" ht="15.6" x14ac:dyDescent="0.3">
      <c r="A41" s="6"/>
      <c r="B41" s="6" t="str">
        <f>"20"&amp;MID(ispit[[#This Row],[Email]],3,2)&amp;"/"&amp;MID(ispit[[#This Row],[Email]],5,4)</f>
        <v>20/</v>
      </c>
      <c r="C41" s="6" t="e">
        <f>VLOOKUP(ispit[[#This Row],[Indeks]],spisakStudenata[],3,FALSE)</f>
        <v>#N/A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>
        <f>SUM(ispit[[#This Row],[P1]]:ispit[[#This Row],[P10]])</f>
        <v>0</v>
      </c>
      <c r="P41" s="6"/>
    </row>
    <row r="42" spans="1:16" ht="15.6" x14ac:dyDescent="0.3">
      <c r="A42" s="6"/>
      <c r="B42" s="6" t="str">
        <f>"20"&amp;MID(ispit[[#This Row],[Email]],3,2)&amp;"/"&amp;MID(ispit[[#This Row],[Email]],5,4)</f>
        <v>20/</v>
      </c>
      <c r="C42" s="6" t="e">
        <f>VLOOKUP(ispit[[#This Row],[Indeks]],spisakStudenata[],3,FALSE)</f>
        <v>#N/A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>
        <f>SUM(ispit[[#This Row],[P1]]:ispit[[#This Row],[P10]])</f>
        <v>0</v>
      </c>
      <c r="P42" s="6"/>
    </row>
    <row r="43" spans="1:16" ht="15.6" x14ac:dyDescent="0.3">
      <c r="A43" s="6"/>
      <c r="B43" s="6" t="str">
        <f>"20"&amp;MID(ispit[[#This Row],[Email]],3,2)&amp;"/"&amp;MID(ispit[[#This Row],[Email]],5,4)</f>
        <v>20/</v>
      </c>
      <c r="C43" s="6" t="e">
        <f>VLOOKUP(ispit[[#This Row],[Indeks]],spisakStudenata[],3,FALSE)</f>
        <v>#N/A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>
        <f>SUM(ispit[[#This Row],[P1]]:ispit[[#This Row],[P10]])</f>
        <v>0</v>
      </c>
      <c r="P43" s="6"/>
    </row>
    <row r="44" spans="1:16" ht="15.6" x14ac:dyDescent="0.3">
      <c r="A44" s="6"/>
      <c r="B44" s="6" t="str">
        <f>"20"&amp;MID(ispit[[#This Row],[Email]],3,2)&amp;"/"&amp;MID(ispit[[#This Row],[Email]],5,4)</f>
        <v>20/</v>
      </c>
      <c r="C44" s="6" t="e">
        <f>VLOOKUP(ispit[[#This Row],[Indeks]],spisakStudenata[],3,FALSE)</f>
        <v>#N/A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>
        <f>SUM(ispit[[#This Row],[P1]]:ispit[[#This Row],[P10]])</f>
        <v>0</v>
      </c>
      <c r="P44" s="6"/>
    </row>
    <row r="45" spans="1:16" ht="15.6" x14ac:dyDescent="0.3">
      <c r="A45" s="6"/>
      <c r="B45" s="6" t="str">
        <f>"20"&amp;MID(ispit[[#This Row],[Email]],3,2)&amp;"/"&amp;MID(ispit[[#This Row],[Email]],5,4)</f>
        <v>20/</v>
      </c>
      <c r="C45" s="6" t="e">
        <f>VLOOKUP(ispit[[#This Row],[Indeks]],spisakStudenata[],3,FALSE)</f>
        <v>#N/A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>
        <f>SUM(ispit[[#This Row],[P1]]:ispit[[#This Row],[P10]])</f>
        <v>0</v>
      </c>
      <c r="P45" s="6"/>
    </row>
    <row r="46" spans="1:16" ht="15.6" x14ac:dyDescent="0.3">
      <c r="A46" s="6"/>
      <c r="B46" s="6" t="str">
        <f>"20"&amp;MID(ispit[[#This Row],[Email]],3,2)&amp;"/"&amp;MID(ispit[[#This Row],[Email]],5,4)</f>
        <v>20/</v>
      </c>
      <c r="C46" s="6" t="e">
        <f>VLOOKUP(ispit[[#This Row],[Indeks]],spisakStudenata[],3,FALSE)</f>
        <v>#N/A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>
        <f>SUM(ispit[[#This Row],[P1]]:ispit[[#This Row],[P10]])</f>
        <v>0</v>
      </c>
      <c r="P46" s="6"/>
    </row>
    <row r="47" spans="1:16" ht="15.6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15.6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15.6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15.6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15.6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15.6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15.6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6" ht="15.6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6" ht="15.6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96CBA-F26D-4897-A4C2-F7362E389347}">
  <dimension ref="A1:S40"/>
  <sheetViews>
    <sheetView zoomScaleNormal="100" workbookViewId="0">
      <selection activeCell="N2" sqref="N2"/>
    </sheetView>
  </sheetViews>
  <sheetFormatPr defaultRowHeight="14.4" x14ac:dyDescent="0.3"/>
  <cols>
    <col min="1" max="1" width="11.5546875" bestFit="1" customWidth="1"/>
    <col min="2" max="2" width="21.77734375" bestFit="1" customWidth="1"/>
    <col min="3" max="3" width="13.44140625" bestFit="1" customWidth="1"/>
    <col min="4" max="4" width="7.88671875" bestFit="1" customWidth="1"/>
    <col min="5" max="6" width="7.5546875" bestFit="1" customWidth="1"/>
    <col min="7" max="8" width="9.21875" bestFit="1" customWidth="1"/>
    <col min="9" max="10" width="7.109375" bestFit="1" customWidth="1"/>
    <col min="11" max="11" width="13.44140625" bestFit="1" customWidth="1"/>
    <col min="12" max="12" width="6.109375" bestFit="1" customWidth="1"/>
    <col min="13" max="13" width="13.44140625" bestFit="1" customWidth="1"/>
    <col min="14" max="14" width="11.44140625" bestFit="1" customWidth="1"/>
    <col min="15" max="15" width="11.77734375" bestFit="1" customWidth="1"/>
    <col min="16" max="16" width="9.77734375" bestFit="1" customWidth="1"/>
    <col min="18" max="18" width="10.77734375" bestFit="1" customWidth="1"/>
    <col min="21" max="21" width="3" bestFit="1" customWidth="1"/>
    <col min="22" max="22" width="2" bestFit="1" customWidth="1"/>
  </cols>
  <sheetData>
    <row r="1" spans="1:19" ht="15.6" x14ac:dyDescent="0.3">
      <c r="A1" s="2" t="s">
        <v>0</v>
      </c>
      <c r="B1" s="2" t="s">
        <v>1</v>
      </c>
      <c r="C1" s="2" t="s">
        <v>31</v>
      </c>
      <c r="D1" s="2" t="s">
        <v>32</v>
      </c>
      <c r="E1" s="2" t="s">
        <v>33</v>
      </c>
      <c r="F1" s="2" t="s">
        <v>34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27</v>
      </c>
      <c r="O1" s="2" t="s">
        <v>46</v>
      </c>
      <c r="P1" s="2" t="s">
        <v>45</v>
      </c>
      <c r="Q1" s="2"/>
      <c r="R1" s="8" t="s">
        <v>44</v>
      </c>
      <c r="S1" s="8">
        <v>1</v>
      </c>
    </row>
    <row r="2" spans="1:19" ht="15.6" x14ac:dyDescent="0.3">
      <c r="A2" s="10" t="s">
        <v>58</v>
      </c>
      <c r="B2" s="10" t="str">
        <f>VLOOKUP(Table9[[#This Row],[Indeks]],spisakStudenata[[Indeks]:[Prezime i ime (latinica)]],3,FALSE)</f>
        <v>Laušević Ivan</v>
      </c>
      <c r="C2" s="10">
        <f>IFERROR(10 * VLOOKUP(Table9[[#This Row],[Indeks]],prviKolokvijum[[Indeks]:[K1]],13,FALSE),0)</f>
        <v>0</v>
      </c>
      <c r="D2" s="10">
        <f>IFERROR(VLOOKUP(Table9[[#This Row],[Indeks]],drugiKolokvijum[[Indeks]:[Ukupno]],13,FALSE),0)*10</f>
        <v>0</v>
      </c>
      <c r="E2" s="10">
        <f>IFERROR(VLOOKUP(Table9[[#This Row],[Indeks]],drugaLaboratorijskaVezba[],14,FALSE),0)</f>
        <v>0</v>
      </c>
      <c r="F2" s="10">
        <f>IFERROR(VLOOKUP(Table9[[#This Row],[Indeks]],cetvrtaLaboratorijskaVezba[],14,FALSE),0)</f>
        <v>0</v>
      </c>
      <c r="G2" s="10">
        <f>IFERROR(VLOOKUP(Table9[[#This Row],[Indeks]],dz[],4,FALSE),0)</f>
        <v>0</v>
      </c>
      <c r="H2" s="10">
        <f>IFERROR(VLOOKUP(Table9[[#This Row],[Indeks]],dz[],5,FALSE),0)</f>
        <v>0</v>
      </c>
      <c r="I2" s="10">
        <f>(MAX(Table9[[#This Row],[L2]],Table9[[#This Row],[DZ1]])+MAX(Table9[[#This Row],[L4]],Table9[[#This Row],[DZ2]]))/2</f>
        <v>0</v>
      </c>
      <c r="J2" s="10">
        <f>(Table9[[#This Row],[DZ1]]+Table9[[#This Row],[DZ2]])/2</f>
        <v>0</v>
      </c>
      <c r="K2" s="10" cm="1">
        <f t="array" ref="K2">MAX((Table9[[#This Row],[K1]]+Table9[[#This Row],[K2]])/2,IFERROR(INDEX(ispit[Ukupno], MATCH(Table9[[#This Row],[Indeks]]&amp;"1",ispit[Indeks]&amp;ispit[Rok],0)),0)*10)</f>
        <v>0</v>
      </c>
      <c r="L2" s="10" cm="1">
        <f t="array" ref="L2">IF(MAX(ROW(ispit[Indeks]) * (Table9[[#This Row],[Indeks]]=ispit[Indeks]) * ($S$1&gt;=ispit[Rok])) &gt; 0,10 * INDEX(ispit[Ukupno],SUMPRODUCT(MAX(ROW(ispit[Indeks]) * (Table9[[#This Row],[Indeks]]=ispit[Indeks]) * ($S$1&gt;=ispit[Rok])) - 1)),0)</f>
        <v>0</v>
      </c>
      <c r="M2" s="10">
        <f>IF(AND(Table9[[#This Row],[L]]&gt;=40,Table9[[#This Row],[I]]&gt;=40),0.2*Table9[[#This Row],[L]]+0.3*Table9[[#This Row],[D]]+0.2*Table9[[#This Row],[K]]+0.3*Table9[[#This Row],[I]],0)</f>
        <v>0</v>
      </c>
      <c r="N2" s="12">
        <f>IF(OR(Table9[[#This Row],[DZ rok]]=$S$1,Table9[[#This Row],[I rok]]=$S$1),MEDIAN(5,10,FLOOR((Table9[[#This Row],[P]] + 9.99)/10,1)),3)</f>
        <v>3</v>
      </c>
      <c r="O2" s="10" t="str">
        <f>IFERROR(VLOOKUP(Table9[[#This Row],[Indeks]],dz[],3,FALSE),"")</f>
        <v/>
      </c>
      <c r="P2" s="12" cm="1">
        <f t="array" ref="P2">IF(MAX(ROW(ispit[Indeks]) * (Table9[[#This Row],[Indeks]]=ispit[Indeks]) * ($S$1&gt;=ispit[Rok])) &gt; 0,INDEX(ispit[Rok],SUMPRODUCT(MAX(ROW(ispit[Indeks]) * (Table9[[#This Row],[Indeks]]=ispit[Indeks]) * ($S$1&gt;=ispit[Rok])) - 1)),0)</f>
        <v>0</v>
      </c>
      <c r="Q2" s="2"/>
    </row>
    <row r="3" spans="1:19" ht="15.6" x14ac:dyDescent="0.3">
      <c r="A3" s="10" t="s">
        <v>60</v>
      </c>
      <c r="B3" s="10" t="str">
        <f>VLOOKUP(Table9[[#This Row],[Indeks]],spisakStudenata[[Indeks]:[Prezime i ime (latinica)]],3,FALSE)</f>
        <v>Krasić Stefan</v>
      </c>
      <c r="C3" s="10">
        <f>IFERROR(10 * VLOOKUP(Table9[[#This Row],[Indeks]],prviKolokvijum[[Indeks]:[K1]],13,FALSE),0)</f>
        <v>0</v>
      </c>
      <c r="D3" s="10">
        <f>IFERROR(VLOOKUP(Table9[[#This Row],[Indeks]],drugiKolokvijum[[Indeks]:[Ukupno]],13,FALSE),0)*10</f>
        <v>0</v>
      </c>
      <c r="E3" s="10">
        <f>IFERROR(VLOOKUP(Table9[[#This Row],[Indeks]],drugaLaboratorijskaVezba[],14,FALSE),0)</f>
        <v>0</v>
      </c>
      <c r="F3" s="10">
        <f>IFERROR(VLOOKUP(Table9[[#This Row],[Indeks]],cetvrtaLaboratorijskaVezba[],14,FALSE),0)</f>
        <v>0</v>
      </c>
      <c r="G3" s="10">
        <f>IFERROR(VLOOKUP(Table9[[#This Row],[Indeks]],dz[],4,FALSE),0)</f>
        <v>0</v>
      </c>
      <c r="H3" s="10">
        <f>IFERROR(VLOOKUP(Table9[[#This Row],[Indeks]],dz[],5,FALSE),0)</f>
        <v>0</v>
      </c>
      <c r="I3" s="10">
        <f>(MAX(Table9[[#This Row],[L2]],Table9[[#This Row],[DZ1]])+MAX(Table9[[#This Row],[L4]],Table9[[#This Row],[DZ2]]))/2</f>
        <v>0</v>
      </c>
      <c r="J3" s="10">
        <f>(Table9[[#This Row],[DZ1]]+Table9[[#This Row],[DZ2]])/2</f>
        <v>0</v>
      </c>
      <c r="K3" s="10" cm="1">
        <f t="array" ref="K3">MAX((Table9[[#This Row],[K1]]+Table9[[#This Row],[K2]])/2,IFERROR(INDEX(ispit[Ukupno], MATCH(Table9[[#This Row],[Indeks]]&amp;"1",ispit[Indeks]&amp;ispit[Rok],0)),0)*10)</f>
        <v>0</v>
      </c>
      <c r="L3" s="10" cm="1">
        <f t="array" ref="L3">IF(MAX(ROW(ispit[Indeks]) * (Table9[[#This Row],[Indeks]]=ispit[Indeks]) * ($S$1&gt;=ispit[Rok])) &gt; 0,10 * INDEX(ispit[Ukupno],SUMPRODUCT(MAX(ROW(ispit[Indeks]) * (Table9[[#This Row],[Indeks]]=ispit[Indeks]) * ($S$1&gt;=ispit[Rok])) - 1)),0)</f>
        <v>0</v>
      </c>
      <c r="M3" s="10">
        <f>IF(AND(Table9[[#This Row],[L]]&gt;=40,Table9[[#This Row],[I]]&gt;=40),0.2*Table9[[#This Row],[L]]+0.3*Table9[[#This Row],[D]]+0.2*Table9[[#This Row],[K]]+0.3*Table9[[#This Row],[I]],0)</f>
        <v>0</v>
      </c>
      <c r="N3" s="12">
        <f>IF(OR(Table9[[#This Row],[DZ rok]]=$S$1,Table9[[#This Row],[I rok]]=$S$1),MEDIAN(5,10,FLOOR((Table9[[#This Row],[P]] + 9.99)/10,1)),3)</f>
        <v>3</v>
      </c>
      <c r="O3" s="10" t="str">
        <f>IFERROR(VLOOKUP(Table9[[#This Row],[Indeks]],dz[],3,FALSE),"")</f>
        <v/>
      </c>
      <c r="P3" s="12" cm="1">
        <f t="array" ref="P3">IF(MAX(ROW(ispit[Indeks]) * (Table9[[#This Row],[Indeks]]=ispit[Indeks]) * ($S$1&gt;=ispit[Rok])) &gt; 0,INDEX(ispit[Rok],SUMPRODUCT(MAX(ROW(ispit[Indeks]) * (Table9[[#This Row],[Indeks]]=ispit[Indeks]) * ($S$1&gt;=ispit[Rok])) - 1)),0)</f>
        <v>0</v>
      </c>
      <c r="Q3" s="2"/>
    </row>
    <row r="4" spans="1:19" ht="15.6" x14ac:dyDescent="0.3">
      <c r="A4" s="10" t="s">
        <v>70</v>
      </c>
      <c r="B4" s="10" t="str">
        <f>VLOOKUP(Table9[[#This Row],[Indeks]],spisakStudenata[[Indeks]:[Prezime i ime (latinica)]],3,FALSE)</f>
        <v>Janevski Ivan</v>
      </c>
      <c r="C4" s="10">
        <f>IFERROR(10 * VLOOKUP(Table9[[#This Row],[Indeks]],prviKolokvijum[[Indeks]:[K1]],13,FALSE),0)</f>
        <v>41.666666666666671</v>
      </c>
      <c r="D4" s="10">
        <f>IFERROR(VLOOKUP(Table9[[#This Row],[Indeks]],drugiKolokvijum[[Indeks]:[Ukupno]],13,FALSE),0)*10</f>
        <v>29.700000000000003</v>
      </c>
      <c r="E4" s="10">
        <f>IFERROR(VLOOKUP(Table9[[#This Row],[Indeks]],drugaLaboratorijskaVezba[],14,FALSE),0)</f>
        <v>0</v>
      </c>
      <c r="F4" s="10">
        <f>IFERROR(VLOOKUP(Table9[[#This Row],[Indeks]],cetvrtaLaboratorijskaVezba[],14,FALSE),0)</f>
        <v>0</v>
      </c>
      <c r="G4" s="10">
        <f>IFERROR(VLOOKUP(Table9[[#This Row],[Indeks]],dz[],4,FALSE),0)</f>
        <v>0</v>
      </c>
      <c r="H4" s="10">
        <f>IFERROR(VLOOKUP(Table9[[#This Row],[Indeks]],dz[],5,FALSE),0)</f>
        <v>0</v>
      </c>
      <c r="I4" s="10">
        <f>(MAX(Table9[[#This Row],[L2]],Table9[[#This Row],[DZ1]])+MAX(Table9[[#This Row],[L4]],Table9[[#This Row],[DZ2]]))/2</f>
        <v>0</v>
      </c>
      <c r="J4" s="10">
        <f>(Table9[[#This Row],[DZ1]]+Table9[[#This Row],[DZ2]])/2</f>
        <v>0</v>
      </c>
      <c r="K4" s="10" cm="1">
        <f t="array" ref="K4">MAX((Table9[[#This Row],[K1]]+Table9[[#This Row],[K2]])/2,IFERROR(INDEX(ispit[Ukupno], MATCH(Table9[[#This Row],[Indeks]]&amp;"1",ispit[Indeks]&amp;ispit[Rok],0)),0)*10)</f>
        <v>49</v>
      </c>
      <c r="L4" s="10" cm="1">
        <f t="array" ref="L4">IF(MAX(ROW(ispit[Indeks]) * (Table9[[#This Row],[Indeks]]=ispit[Indeks]) * ($S$1&gt;=ispit[Rok])) &gt; 0,10 * INDEX(ispit[Ukupno],SUMPRODUCT(MAX(ROW(ispit[Indeks]) * (Table9[[#This Row],[Indeks]]=ispit[Indeks]) * ($S$1&gt;=ispit[Rok])) - 1)),0)</f>
        <v>49</v>
      </c>
      <c r="M4" s="10">
        <f>IF(AND(Table9[[#This Row],[L]]&gt;=40,Table9[[#This Row],[I]]&gt;=40),0.2*Table9[[#This Row],[L]]+0.3*Table9[[#This Row],[D]]+0.2*Table9[[#This Row],[K]]+0.3*Table9[[#This Row],[I]],0)</f>
        <v>0</v>
      </c>
      <c r="N4" s="12">
        <f>IF(OR(Table9[[#This Row],[DZ rok]]=$S$1,Table9[[#This Row],[I rok]]=$S$1),MEDIAN(5,10,FLOOR((Table9[[#This Row],[P]] + 9.99)/10,1)),3)</f>
        <v>5</v>
      </c>
      <c r="O4" s="12" t="str">
        <f>IFERROR(VLOOKUP(Table9[[#This Row],[Indeks]],dz[],3,FALSE),"")</f>
        <v/>
      </c>
      <c r="P4" s="12" cm="1">
        <f t="array" ref="P4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4" s="2"/>
    </row>
    <row r="5" spans="1:19" ht="15.6" x14ac:dyDescent="0.3">
      <c r="A5" s="10" t="s">
        <v>90</v>
      </c>
      <c r="B5" s="10" t="str">
        <f>VLOOKUP(Table9[[#This Row],[Indeks]],spisakStudenata[[Indeks]:[Prezime i ime (latinica)]],3,FALSE)</f>
        <v>Radulović Vuk</v>
      </c>
      <c r="C5" s="10">
        <f>IFERROR(10 * VLOOKUP(Table9[[#This Row],[Indeks]],prviKolokvijum[[Indeks]:[K1]],13,FALSE),0)</f>
        <v>0</v>
      </c>
      <c r="D5" s="10">
        <f>IFERROR(VLOOKUP(Table9[[#This Row],[Indeks]],drugiKolokvijum[[Indeks]:[Ukupno]],13,FALSE),0)*10</f>
        <v>53.3</v>
      </c>
      <c r="E5" s="10">
        <f>IFERROR(VLOOKUP(Table9[[#This Row],[Indeks]],drugaLaboratorijskaVezba[],14,FALSE),0)</f>
        <v>0</v>
      </c>
      <c r="F5" s="10">
        <f>IFERROR(VLOOKUP(Table9[[#This Row],[Indeks]],cetvrtaLaboratorijskaVezba[],14,FALSE),0)</f>
        <v>0</v>
      </c>
      <c r="G5" s="10">
        <f>IFERROR(VLOOKUP(Table9[[#This Row],[Indeks]],dz[],4,FALSE),0)</f>
        <v>100</v>
      </c>
      <c r="H5" s="10">
        <f>IFERROR(VLOOKUP(Table9[[#This Row],[Indeks]],dz[],5,FALSE),0)</f>
        <v>100</v>
      </c>
      <c r="I5" s="10">
        <f>(MAX(Table9[[#This Row],[L2]],Table9[[#This Row],[DZ1]])+MAX(Table9[[#This Row],[L4]],Table9[[#This Row],[DZ2]]))/2</f>
        <v>100</v>
      </c>
      <c r="J5" s="10">
        <f>(Table9[[#This Row],[DZ1]]+Table9[[#This Row],[DZ2]])/2</f>
        <v>100</v>
      </c>
      <c r="K5" s="10" cm="1">
        <f t="array" ref="K5">MAX((Table9[[#This Row],[K1]]+Table9[[#This Row],[K2]])/2,IFERROR(INDEX(ispit[Ukupno], MATCH(Table9[[#This Row],[Indeks]]&amp;"1",ispit[Indeks]&amp;ispit[Rok],0)),0)*10)</f>
        <v>26.65</v>
      </c>
      <c r="L5" s="10" cm="1">
        <f t="array" ref="L5">IF(MAX(ROW(ispit[Indeks]) * (Table9[[#This Row],[Indeks]]=ispit[Indeks]) * ($S$1&gt;=ispit[Rok])) &gt; 0,10 * INDEX(ispit[Ukupno],SUMPRODUCT(MAX(ROW(ispit[Indeks]) * (Table9[[#This Row],[Indeks]]=ispit[Indeks]) * ($S$1&gt;=ispit[Rok])) - 1)),0)</f>
        <v>25.8</v>
      </c>
      <c r="M5" s="10">
        <f>IF(AND(Table9[[#This Row],[L]]&gt;=40,Table9[[#This Row],[I]]&gt;=40),0.2*Table9[[#This Row],[L]]+0.3*Table9[[#This Row],[D]]+0.2*Table9[[#This Row],[K]]+0.3*Table9[[#This Row],[I]],0)</f>
        <v>0</v>
      </c>
      <c r="N5" s="12">
        <f>IF(OR(Table9[[#This Row],[DZ rok]]=$S$1,Table9[[#This Row],[I rok]]=$S$1),MEDIAN(5,10,FLOOR((Table9[[#This Row],[P]] + 9.99)/10,1)),3)</f>
        <v>5</v>
      </c>
      <c r="O5" s="12">
        <f>IFERROR(VLOOKUP(Table9[[#This Row],[Indeks]],dz[],3,FALSE),"")</f>
        <v>3</v>
      </c>
      <c r="P5" s="12" cm="1">
        <f t="array" ref="P5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5" s="2"/>
      <c r="R5" s="1" t="s">
        <v>27</v>
      </c>
      <c r="S5" s="1" t="s">
        <v>26</v>
      </c>
    </row>
    <row r="6" spans="1:19" ht="15.6" x14ac:dyDescent="0.3">
      <c r="A6" s="10" t="s">
        <v>92</v>
      </c>
      <c r="B6" s="10" t="str">
        <f>VLOOKUP(Table9[[#This Row],[Indeks]],spisakStudenata[[Indeks]:[Prezime i ime (latinica)]],3,FALSE)</f>
        <v>Adamović Aleksa</v>
      </c>
      <c r="C6" s="10">
        <f>IFERROR(10 * VLOOKUP(Table9[[#This Row],[Indeks]],prviKolokvijum[[Indeks]:[K1]],13,FALSE),0)</f>
        <v>66.666666666666671</v>
      </c>
      <c r="D6" s="10">
        <f>IFERROR(VLOOKUP(Table9[[#This Row],[Indeks]],drugiKolokvijum[[Indeks]:[Ukupno]],13,FALSE),0)*10</f>
        <v>21.099999999999998</v>
      </c>
      <c r="E6" s="10">
        <f>IFERROR(VLOOKUP(Table9[[#This Row],[Indeks]],drugaLaboratorijskaVezba[],14,FALSE),0)</f>
        <v>0</v>
      </c>
      <c r="F6" s="10">
        <f>IFERROR(VLOOKUP(Table9[[#This Row],[Indeks]],cetvrtaLaboratorijskaVezba[],14,FALSE),0)</f>
        <v>0</v>
      </c>
      <c r="G6" s="10">
        <f>IFERROR(VLOOKUP(Table9[[#This Row],[Indeks]],dz[],4,FALSE),0)</f>
        <v>0</v>
      </c>
      <c r="H6" s="10">
        <f>IFERROR(VLOOKUP(Table9[[#This Row],[Indeks]],dz[],5,FALSE),0)</f>
        <v>0</v>
      </c>
      <c r="I6" s="10">
        <f>(MAX(Table9[[#This Row],[L2]],Table9[[#This Row],[DZ1]])+MAX(Table9[[#This Row],[L4]],Table9[[#This Row],[DZ2]]))/2</f>
        <v>0</v>
      </c>
      <c r="J6" s="10">
        <f>(Table9[[#This Row],[DZ1]]+Table9[[#This Row],[DZ2]])/2</f>
        <v>0</v>
      </c>
      <c r="K6" s="10" cm="1">
        <f t="array" ref="K6">MAX((Table9[[#This Row],[K1]]+Table9[[#This Row],[K2]])/2,IFERROR(INDEX(ispit[Ukupno], MATCH(Table9[[#This Row],[Indeks]]&amp;"1",ispit[Indeks]&amp;ispit[Rok],0)),0)*10)</f>
        <v>43.883333333333333</v>
      </c>
      <c r="L6" s="10" cm="1">
        <f t="array" ref="L6">IF(MAX(ROW(ispit[Indeks]) * (Table9[[#This Row],[Indeks]]=ispit[Indeks]) * ($S$1&gt;=ispit[Rok])) &gt; 0,10 * INDEX(ispit[Ukupno],SUMPRODUCT(MAX(ROW(ispit[Indeks]) * (Table9[[#This Row],[Indeks]]=ispit[Indeks]) * ($S$1&gt;=ispit[Rok])) - 1)),0)</f>
        <v>0</v>
      </c>
      <c r="M6" s="10">
        <f>IF(AND(Table9[[#This Row],[L]]&gt;=40,Table9[[#This Row],[I]]&gt;=40),0.2*Table9[[#This Row],[L]]+0.3*Table9[[#This Row],[D]]+0.2*Table9[[#This Row],[K]]+0.3*Table9[[#This Row],[I]],0)</f>
        <v>0</v>
      </c>
      <c r="N6" s="12">
        <f>IF(OR(Table9[[#This Row],[DZ rok]]=$S$1,Table9[[#This Row],[I rok]]=$S$1),MEDIAN(5,10,FLOOR((Table9[[#This Row],[P]] + 9.99)/10,1)),3)</f>
        <v>3</v>
      </c>
      <c r="O6" s="10" t="str">
        <f>IFERROR(VLOOKUP(Table9[[#This Row],[Indeks]],dz[],3,FALSE),"")</f>
        <v/>
      </c>
      <c r="P6" s="12" cm="1">
        <f t="array" ref="P6">IF(MAX(ROW(ispit[Indeks]) * (Table9[[#This Row],[Indeks]]=ispit[Indeks]) * ($S$1&gt;=ispit[Rok])) &gt; 0,INDEX(ispit[Rok],SUMPRODUCT(MAX(ROW(ispit[Indeks]) * (Table9[[#This Row],[Indeks]]=ispit[Indeks]) * ($S$1&gt;=ispit[Rok])) - 1)),0)</f>
        <v>0</v>
      </c>
      <c r="Q6" s="2"/>
      <c r="R6" s="1">
        <v>5</v>
      </c>
      <c r="S6" s="1">
        <f>COUNTIF(Table9[Ocena],Table11[[#This Row],[Ocena]])</f>
        <v>9</v>
      </c>
    </row>
    <row r="7" spans="1:19" ht="15.6" x14ac:dyDescent="0.3">
      <c r="A7" s="10" t="s">
        <v>7</v>
      </c>
      <c r="B7" s="10" t="str">
        <f>VLOOKUP(Table9[[#This Row],[Indeks]],spisakStudenata[[Indeks]:[Prezime i ime (latinica)]],3,FALSE)</f>
        <v>Miletić Marija</v>
      </c>
      <c r="C7" s="10">
        <f>IFERROR(10 * VLOOKUP(Table9[[#This Row],[Indeks]],prviKolokvijum[[Indeks]:[K1]],13,FALSE),0)</f>
        <v>55.555555555555557</v>
      </c>
      <c r="D7" s="10">
        <f>IFERROR(VLOOKUP(Table9[[#This Row],[Indeks]],drugiKolokvijum[[Indeks]:[Ukupno]],13,FALSE),0)*10</f>
        <v>0</v>
      </c>
      <c r="E7" s="10">
        <f>IFERROR(VLOOKUP(Table9[[#This Row],[Indeks]],drugaLaboratorijskaVezba[],14,FALSE),0)</f>
        <v>0</v>
      </c>
      <c r="F7" s="10">
        <f>IFERROR(VLOOKUP(Table9[[#This Row],[Indeks]],cetvrtaLaboratorijskaVezba[],14,FALSE),0)</f>
        <v>0</v>
      </c>
      <c r="G7" s="10">
        <f>IFERROR(VLOOKUP(Table9[[#This Row],[Indeks]],dz[],4,FALSE),0)</f>
        <v>0</v>
      </c>
      <c r="H7" s="10">
        <f>IFERROR(VLOOKUP(Table9[[#This Row],[Indeks]],dz[],5,FALSE),0)</f>
        <v>0</v>
      </c>
      <c r="I7" s="10">
        <f>(MAX(Table9[[#This Row],[L2]],Table9[[#This Row],[DZ1]])+MAX(Table9[[#This Row],[L4]],Table9[[#This Row],[DZ2]]))/2</f>
        <v>0</v>
      </c>
      <c r="J7" s="10">
        <f>(Table9[[#This Row],[DZ1]]+Table9[[#This Row],[DZ2]])/2</f>
        <v>0</v>
      </c>
      <c r="K7" s="10" cm="1">
        <f t="array" ref="K7">MAX((Table9[[#This Row],[K1]]+Table9[[#This Row],[K2]])/2,IFERROR(INDEX(ispit[Ukupno], MATCH(Table9[[#This Row],[Indeks]]&amp;"1",ispit[Indeks]&amp;ispit[Rok],0)),0)*10)</f>
        <v>27.777777777777779</v>
      </c>
      <c r="L7" s="10" cm="1">
        <f t="array" ref="L7">IF(MAX(ROW(ispit[Indeks]) * (Table9[[#This Row],[Indeks]]=ispit[Indeks]) * ($S$1&gt;=ispit[Rok])) &gt; 0,10 * INDEX(ispit[Ukupno],SUMPRODUCT(MAX(ROW(ispit[Indeks]) * (Table9[[#This Row],[Indeks]]=ispit[Indeks]) * ($S$1&gt;=ispit[Rok])) - 1)),0)</f>
        <v>0</v>
      </c>
      <c r="M7" s="10">
        <f>IF(AND(Table9[[#This Row],[L]]&gt;=40,Table9[[#This Row],[I]]&gt;=40),0.2*Table9[[#This Row],[L]]+0.3*Table9[[#This Row],[D]]+0.2*Table9[[#This Row],[K]]+0.3*Table9[[#This Row],[I]],0)</f>
        <v>0</v>
      </c>
      <c r="N7" s="12">
        <f>IF(OR(Table9[[#This Row],[DZ rok]]=$S$1,Table9[[#This Row],[I rok]]=$S$1),MEDIAN(5,10,FLOOR((Table9[[#This Row],[P]] + 9.99)/10,1)),3)</f>
        <v>3</v>
      </c>
      <c r="O7" s="10" t="str">
        <f>IFERROR(VLOOKUP(Table9[[#This Row],[Indeks]],dz[],3,FALSE),"")</f>
        <v/>
      </c>
      <c r="P7" s="12" cm="1">
        <f t="array" ref="P7">IF(MAX(ROW(ispit[Indeks]) * (Table9[[#This Row],[Indeks]]=ispit[Indeks]) * ($S$1&gt;=ispit[Rok])) &gt; 0,INDEX(ispit[Rok],SUMPRODUCT(MAX(ROW(ispit[Indeks]) * (Table9[[#This Row],[Indeks]]=ispit[Indeks]) * ($S$1&gt;=ispit[Rok])) - 1)),0)</f>
        <v>0</v>
      </c>
      <c r="Q7" s="2"/>
      <c r="R7" s="1">
        <v>6</v>
      </c>
      <c r="S7" s="1">
        <f>COUNTIF(Table9[Ocena],Table11[[#This Row],[Ocena]])</f>
        <v>1</v>
      </c>
    </row>
    <row r="8" spans="1:19" ht="15.6" x14ac:dyDescent="0.3">
      <c r="A8" s="10" t="s">
        <v>72</v>
      </c>
      <c r="B8" s="10" t="str">
        <f>VLOOKUP(Table9[[#This Row],[Indeks]],spisakStudenata[[Indeks]:[Prezime i ime (latinica)]],3,FALSE)</f>
        <v>Obradović Marko</v>
      </c>
      <c r="C8" s="10">
        <f>IFERROR(10 * VLOOKUP(Table9[[#This Row],[Indeks]],prviKolokvijum[[Indeks]:[K1]],13,FALSE),0)</f>
        <v>0</v>
      </c>
      <c r="D8" s="10">
        <f>IFERROR(VLOOKUP(Table9[[#This Row],[Indeks]],drugiKolokvijum[[Indeks]:[Ukupno]],13,FALSE),0)*10</f>
        <v>0</v>
      </c>
      <c r="E8" s="10">
        <f>IFERROR(VLOOKUP(Table9[[#This Row],[Indeks]],drugaLaboratorijskaVezba[],14,FALSE),0)</f>
        <v>0</v>
      </c>
      <c r="F8" s="10">
        <f>IFERROR(VLOOKUP(Table9[[#This Row],[Indeks]],cetvrtaLaboratorijskaVezba[],14,FALSE),0)</f>
        <v>0</v>
      </c>
      <c r="G8" s="10">
        <f>IFERROR(VLOOKUP(Table9[[#This Row],[Indeks]],dz[],4,FALSE),0)</f>
        <v>0</v>
      </c>
      <c r="H8" s="10">
        <f>IFERROR(VLOOKUP(Table9[[#This Row],[Indeks]],dz[],5,FALSE),0)</f>
        <v>0</v>
      </c>
      <c r="I8" s="10">
        <f>(MAX(Table9[[#This Row],[L2]],Table9[[#This Row],[DZ1]])+MAX(Table9[[#This Row],[L4]],Table9[[#This Row],[DZ2]]))/2</f>
        <v>0</v>
      </c>
      <c r="J8" s="10">
        <f>(Table9[[#This Row],[DZ1]]+Table9[[#This Row],[DZ2]])/2</f>
        <v>0</v>
      </c>
      <c r="K8" s="10" cm="1">
        <f t="array" ref="K8">MAX((Table9[[#This Row],[K1]]+Table9[[#This Row],[K2]])/2,IFERROR(INDEX(ispit[Ukupno], MATCH(Table9[[#This Row],[Indeks]]&amp;"1",ispit[Indeks]&amp;ispit[Rok],0)),0)*10)</f>
        <v>0</v>
      </c>
      <c r="L8" s="10" cm="1">
        <f t="array" ref="L8">IF(MAX(ROW(ispit[Indeks]) * (Table9[[#This Row],[Indeks]]=ispit[Indeks]) * ($S$1&gt;=ispit[Rok])) &gt; 0,10 * INDEX(ispit[Ukupno],SUMPRODUCT(MAX(ROW(ispit[Indeks]) * (Table9[[#This Row],[Indeks]]=ispit[Indeks]) * ($S$1&gt;=ispit[Rok])) - 1)),0)</f>
        <v>0</v>
      </c>
      <c r="M8" s="10">
        <f>IF(AND(Table9[[#This Row],[L]]&gt;=40,Table9[[#This Row],[I]]&gt;=40),0.2*Table9[[#This Row],[L]]+0.3*Table9[[#This Row],[D]]+0.2*Table9[[#This Row],[K]]+0.3*Table9[[#This Row],[I]],0)</f>
        <v>0</v>
      </c>
      <c r="N8" s="12">
        <f>IF(OR(Table9[[#This Row],[DZ rok]]=$S$1,Table9[[#This Row],[I rok]]=$S$1),MEDIAN(5,10,FLOOR((Table9[[#This Row],[P]] + 9.99)/10,1)),3)</f>
        <v>3</v>
      </c>
      <c r="O8" s="10" t="str">
        <f>IFERROR(VLOOKUP(Table9[[#This Row],[Indeks]],dz[],3,FALSE),"")</f>
        <v/>
      </c>
      <c r="P8" s="12" cm="1">
        <f t="array" ref="P8">IF(MAX(ROW(ispit[Indeks]) * (Table9[[#This Row],[Indeks]]=ispit[Indeks]) * ($S$1&gt;=ispit[Rok])) &gt; 0,INDEX(ispit[Rok],SUMPRODUCT(MAX(ROW(ispit[Indeks]) * (Table9[[#This Row],[Indeks]]=ispit[Indeks]) * ($S$1&gt;=ispit[Rok])) - 1)),0)</f>
        <v>0</v>
      </c>
      <c r="Q8" s="2"/>
      <c r="R8" s="1">
        <v>7</v>
      </c>
      <c r="S8" s="1">
        <f>COUNTIF(Table9[Ocena],Table11[[#This Row],[Ocena]])</f>
        <v>1</v>
      </c>
    </row>
    <row r="9" spans="1:19" ht="15.6" x14ac:dyDescent="0.3">
      <c r="A9" s="10" t="s">
        <v>64</v>
      </c>
      <c r="B9" s="10" t="str">
        <f>VLOOKUP(Table9[[#This Row],[Indeks]],spisakStudenata[[Indeks]:[Prezime i ime (latinica)]],3,FALSE)</f>
        <v>Popović Dimitrije</v>
      </c>
      <c r="C9" s="10">
        <f>IFERROR(10 * VLOOKUP(Table9[[#This Row],[Indeks]],prviKolokvijum[[Indeks]:[K1]],13,FALSE),0)</f>
        <v>63.000000000000007</v>
      </c>
      <c r="D9" s="10">
        <f>IFERROR(VLOOKUP(Table9[[#This Row],[Indeks]],drugiKolokvijum[[Indeks]:[Ukupno]],13,FALSE),0)*10</f>
        <v>12.2</v>
      </c>
      <c r="E9" s="10">
        <f>IFERROR(VLOOKUP(Table9[[#This Row],[Indeks]],drugaLaboratorijskaVezba[],14,FALSE),0)</f>
        <v>0</v>
      </c>
      <c r="F9" s="10">
        <f>IFERROR(VLOOKUP(Table9[[#This Row],[Indeks]],cetvrtaLaboratorijskaVezba[],14,FALSE),0)</f>
        <v>0</v>
      </c>
      <c r="G9" s="10">
        <f>IFERROR(VLOOKUP(Table9[[#This Row],[Indeks]],dz[],4,FALSE),0)</f>
        <v>0</v>
      </c>
      <c r="H9" s="10">
        <f>IFERROR(VLOOKUP(Table9[[#This Row],[Indeks]],dz[],5,FALSE),0)</f>
        <v>0</v>
      </c>
      <c r="I9" s="10">
        <f>(MAX(Table9[[#This Row],[L2]],Table9[[#This Row],[DZ1]])+MAX(Table9[[#This Row],[L4]],Table9[[#This Row],[DZ2]]))/2</f>
        <v>0</v>
      </c>
      <c r="J9" s="10">
        <f>(Table9[[#This Row],[DZ1]]+Table9[[#This Row],[DZ2]])/2</f>
        <v>0</v>
      </c>
      <c r="K9" s="10" cm="1">
        <f t="array" ref="K9">MAX((Table9[[#This Row],[K1]]+Table9[[#This Row],[K2]])/2,IFERROR(INDEX(ispit[Ukupno], MATCH(Table9[[#This Row],[Indeks]]&amp;"1",ispit[Indeks]&amp;ispit[Rok],0)),0)*10)</f>
        <v>37.6</v>
      </c>
      <c r="L9" s="10" cm="1">
        <f t="array" ref="L9">IF(MAX(ROW(ispit[Indeks]) * (Table9[[#This Row],[Indeks]]=ispit[Indeks]) * ($S$1&gt;=ispit[Rok])) &gt; 0,10 * INDEX(ispit[Ukupno],SUMPRODUCT(MAX(ROW(ispit[Indeks]) * (Table9[[#This Row],[Indeks]]=ispit[Indeks]) * ($S$1&gt;=ispit[Rok])) - 1)),0)</f>
        <v>0</v>
      </c>
      <c r="M9" s="10">
        <f>IF(AND(Table9[[#This Row],[L]]&gt;=40,Table9[[#This Row],[I]]&gt;=40),0.2*Table9[[#This Row],[L]]+0.3*Table9[[#This Row],[D]]+0.2*Table9[[#This Row],[K]]+0.3*Table9[[#This Row],[I]],0)</f>
        <v>0</v>
      </c>
      <c r="N9" s="12">
        <f>IF(OR(Table9[[#This Row],[DZ rok]]=$S$1,Table9[[#This Row],[I rok]]=$S$1),MEDIAN(5,10,FLOOR((Table9[[#This Row],[P]] + 9.99)/10,1)),3)</f>
        <v>3</v>
      </c>
      <c r="O9" s="10" t="str">
        <f>IFERROR(VLOOKUP(Table9[[#This Row],[Indeks]],dz[],3,FALSE),"")</f>
        <v/>
      </c>
      <c r="P9" s="12" cm="1">
        <f t="array" ref="P9">IF(MAX(ROW(ispit[Indeks]) * (Table9[[#This Row],[Indeks]]=ispit[Indeks]) * ($S$1&gt;=ispit[Rok])) &gt; 0,INDEX(ispit[Rok],SUMPRODUCT(MAX(ROW(ispit[Indeks]) * (Table9[[#This Row],[Indeks]]=ispit[Indeks]) * ($S$1&gt;=ispit[Rok])) - 1)),0)</f>
        <v>0</v>
      </c>
      <c r="Q9" s="2"/>
      <c r="R9" s="1">
        <v>8</v>
      </c>
      <c r="S9" s="1">
        <f>COUNTIF(Table9[Ocena],Table11[[#This Row],[Ocena]])</f>
        <v>2</v>
      </c>
    </row>
    <row r="10" spans="1:19" ht="15.6" x14ac:dyDescent="0.3">
      <c r="A10" s="10" t="s">
        <v>66</v>
      </c>
      <c r="B10" s="10" t="str">
        <f>VLOOKUP(Table9[[#This Row],[Indeks]],spisakStudenata[[Indeks]:[Prezime i ime (latinica)]],3,FALSE)</f>
        <v>Milošević Isidora</v>
      </c>
      <c r="C10" s="10">
        <f>IFERROR(10 * VLOOKUP(Table9[[#This Row],[Indeks]],prviKolokvijum[[Indeks]:[K1]],13,FALSE),0)</f>
        <v>50.888888888888886</v>
      </c>
      <c r="D10" s="10">
        <f>IFERROR(VLOOKUP(Table9[[#This Row],[Indeks]],drugiKolokvijum[[Indeks]:[Ukupno]],13,FALSE),0)*10</f>
        <v>0</v>
      </c>
      <c r="E10" s="10">
        <f>IFERROR(VLOOKUP(Table9[[#This Row],[Indeks]],drugaLaboratorijskaVezba[],14,FALSE),0)</f>
        <v>0</v>
      </c>
      <c r="F10" s="10">
        <f>IFERROR(VLOOKUP(Table9[[#This Row],[Indeks]],cetvrtaLaboratorijskaVezba[],14,FALSE),0)</f>
        <v>0</v>
      </c>
      <c r="G10" s="10">
        <f>IFERROR(VLOOKUP(Table9[[#This Row],[Indeks]],dz[],4,FALSE),0)</f>
        <v>60</v>
      </c>
      <c r="H10" s="10">
        <f>IFERROR(VLOOKUP(Table9[[#This Row],[Indeks]],dz[],5,FALSE),0)</f>
        <v>60</v>
      </c>
      <c r="I10" s="10">
        <f>(MAX(Table9[[#This Row],[L2]],Table9[[#This Row],[DZ1]])+MAX(Table9[[#This Row],[L4]],Table9[[#This Row],[DZ2]]))/2</f>
        <v>60</v>
      </c>
      <c r="J10" s="10">
        <f>(Table9[[#This Row],[DZ1]]+Table9[[#This Row],[DZ2]])/2</f>
        <v>60</v>
      </c>
      <c r="K10" s="10" cm="1">
        <f t="array" ref="K10">MAX((Table9[[#This Row],[K1]]+Table9[[#This Row],[K2]])/2,IFERROR(INDEX(ispit[Ukupno], MATCH(Table9[[#This Row],[Indeks]]&amp;"1",ispit[Indeks]&amp;ispit[Rok],0)),0)*10)</f>
        <v>50</v>
      </c>
      <c r="L10" s="10" cm="1">
        <f t="array" ref="L10">IF(MAX(ROW(ispit[Indeks]) * (Table9[[#This Row],[Indeks]]=ispit[Indeks]) * ($S$1&gt;=ispit[Rok])) &gt; 0,10 * INDEX(ispit[Ukupno],SUMPRODUCT(MAX(ROW(ispit[Indeks]) * (Table9[[#This Row],[Indeks]]=ispit[Indeks]) * ($S$1&gt;=ispit[Rok])) - 1)),0)</f>
        <v>50</v>
      </c>
      <c r="M10" s="10">
        <f>IF(AND(Table9[[#This Row],[L]]&gt;=40,Table9[[#This Row],[I]]&gt;=40),0.2*Table9[[#This Row],[L]]+0.3*Table9[[#This Row],[D]]+0.2*Table9[[#This Row],[K]]+0.3*Table9[[#This Row],[I]],0)</f>
        <v>55</v>
      </c>
      <c r="N10" s="12">
        <f>IF(OR(Table9[[#This Row],[DZ rok]]=$S$1,Table9[[#This Row],[I rok]]=$S$1),MEDIAN(5,10,FLOOR((Table9[[#This Row],[P]] + 9.99)/10,1)),3)</f>
        <v>6</v>
      </c>
      <c r="O10" s="12">
        <f>IFERROR(VLOOKUP(Table9[[#This Row],[Indeks]],dz[],3,FALSE),"")</f>
        <v>2</v>
      </c>
      <c r="P10" s="12" cm="1">
        <f t="array" ref="P10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0" s="2"/>
      <c r="R10" s="1">
        <v>9</v>
      </c>
      <c r="S10" s="1">
        <f>COUNTIF(Table9[Ocena],Table11[[#This Row],[Ocena]])</f>
        <v>6</v>
      </c>
    </row>
    <row r="11" spans="1:19" ht="15.6" x14ac:dyDescent="0.3">
      <c r="A11" s="10" t="s">
        <v>68</v>
      </c>
      <c r="B11" s="10" t="str">
        <f>VLOOKUP(Table9[[#This Row],[Indeks]],spisakStudenata[[Indeks]:[Prezime i ime (latinica)]],3,FALSE)</f>
        <v>Marjanović Ivana</v>
      </c>
      <c r="C11" s="10">
        <f>IFERROR(10 * VLOOKUP(Table9[[#This Row],[Indeks]],prviKolokvijum[[Indeks]:[K1]],13,FALSE),0)</f>
        <v>0</v>
      </c>
      <c r="D11" s="10">
        <f>IFERROR(VLOOKUP(Table9[[#This Row],[Indeks]],drugiKolokvijum[[Indeks]:[Ukupno]],13,FALSE),0)*10</f>
        <v>0</v>
      </c>
      <c r="E11" s="10">
        <f>IFERROR(VLOOKUP(Table9[[#This Row],[Indeks]],drugaLaboratorijskaVezba[],14,FALSE),0)</f>
        <v>0</v>
      </c>
      <c r="F11" s="10">
        <f>IFERROR(VLOOKUP(Table9[[#This Row],[Indeks]],cetvrtaLaboratorijskaVezba[],14,FALSE),0)</f>
        <v>0</v>
      </c>
      <c r="G11" s="10">
        <f>IFERROR(VLOOKUP(Table9[[#This Row],[Indeks]],dz[],4,FALSE),0)</f>
        <v>0</v>
      </c>
      <c r="H11" s="10">
        <f>IFERROR(VLOOKUP(Table9[[#This Row],[Indeks]],dz[],5,FALSE),0)</f>
        <v>0</v>
      </c>
      <c r="I11" s="10">
        <f>(MAX(Table9[[#This Row],[L2]],Table9[[#This Row],[DZ1]])+MAX(Table9[[#This Row],[L4]],Table9[[#This Row],[DZ2]]))/2</f>
        <v>0</v>
      </c>
      <c r="J11" s="10">
        <f>(Table9[[#This Row],[DZ1]]+Table9[[#This Row],[DZ2]])/2</f>
        <v>0</v>
      </c>
      <c r="K11" s="10" cm="1">
        <f t="array" ref="K11">MAX((Table9[[#This Row],[K1]]+Table9[[#This Row],[K2]])/2,IFERROR(INDEX(ispit[Ukupno], MATCH(Table9[[#This Row],[Indeks]]&amp;"1",ispit[Indeks]&amp;ispit[Rok],0)),0)*10)</f>
        <v>29.5</v>
      </c>
      <c r="L11" s="10" cm="1">
        <f t="array" ref="L11">IF(MAX(ROW(ispit[Indeks]) * (Table9[[#This Row],[Indeks]]=ispit[Indeks]) * ($S$1&gt;=ispit[Rok])) &gt; 0,10 * INDEX(ispit[Ukupno],SUMPRODUCT(MAX(ROW(ispit[Indeks]) * (Table9[[#This Row],[Indeks]]=ispit[Indeks]) * ($S$1&gt;=ispit[Rok])) - 1)),0)</f>
        <v>29.5</v>
      </c>
      <c r="M11" s="10">
        <f>IF(AND(Table9[[#This Row],[L]]&gt;=40,Table9[[#This Row],[I]]&gt;=40),0.2*Table9[[#This Row],[L]]+0.3*Table9[[#This Row],[D]]+0.2*Table9[[#This Row],[K]]+0.3*Table9[[#This Row],[I]],0)</f>
        <v>0</v>
      </c>
      <c r="N11" s="12">
        <f>IF(OR(Table9[[#This Row],[DZ rok]]=$S$1,Table9[[#This Row],[I rok]]=$S$1),MEDIAN(5,10,FLOOR((Table9[[#This Row],[P]] + 9.99)/10,1)),3)</f>
        <v>5</v>
      </c>
      <c r="O11" s="12" t="str">
        <f>IFERROR(VLOOKUP(Table9[[#This Row],[Indeks]],dz[],3,FALSE),"")</f>
        <v/>
      </c>
      <c r="P11" s="12" cm="1">
        <f t="array" ref="P11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1" s="2"/>
      <c r="R11" s="1">
        <v>10</v>
      </c>
      <c r="S11" s="1">
        <f>COUNTIF(Table9[Ocena],Table11[[#This Row],[Ocena]])</f>
        <v>0</v>
      </c>
    </row>
    <row r="12" spans="1:19" ht="15.6" x14ac:dyDescent="0.3">
      <c r="A12" s="10" t="s">
        <v>106</v>
      </c>
      <c r="B12" s="10" t="str">
        <f>VLOOKUP(Table9[[#This Row],[Indeks]],spisakStudenata[[Indeks]:[Prezime i ime (latinica)]],3,FALSE)</f>
        <v>Jovanović Maja</v>
      </c>
      <c r="C12" s="10">
        <f>IFERROR(10 * VLOOKUP(Table9[[#This Row],[Indeks]],prviKolokvijum[[Indeks]:[K1]],13,FALSE),0)</f>
        <v>0</v>
      </c>
      <c r="D12" s="10">
        <f>IFERROR(VLOOKUP(Table9[[#This Row],[Indeks]],drugiKolokvijum[[Indeks]:[Ukupno]],13,FALSE),0)*10</f>
        <v>0</v>
      </c>
      <c r="E12" s="10">
        <f>IFERROR(VLOOKUP(Table9[[#This Row],[Indeks]],drugaLaboratorijskaVezba[],14,FALSE),0)</f>
        <v>0</v>
      </c>
      <c r="F12" s="10">
        <f>IFERROR(VLOOKUP(Table9[[#This Row],[Indeks]],cetvrtaLaboratorijskaVezba[],14,FALSE),0)</f>
        <v>0</v>
      </c>
      <c r="G12" s="10">
        <f>IFERROR(VLOOKUP(Table9[[#This Row],[Indeks]],dz[],4,FALSE),0)</f>
        <v>0</v>
      </c>
      <c r="H12" s="10">
        <f>IFERROR(VLOOKUP(Table9[[#This Row],[Indeks]],dz[],5,FALSE),0)</f>
        <v>0</v>
      </c>
      <c r="I12" s="10">
        <f>(MAX(Table9[[#This Row],[L2]],Table9[[#This Row],[DZ1]])+MAX(Table9[[#This Row],[L4]],Table9[[#This Row],[DZ2]]))/2</f>
        <v>0</v>
      </c>
      <c r="J12" s="10">
        <f>(Table9[[#This Row],[DZ1]]+Table9[[#This Row],[DZ2]])/2</f>
        <v>0</v>
      </c>
      <c r="K12" s="10" cm="1">
        <f t="array" ref="K12">MAX((Table9[[#This Row],[K1]]+Table9[[#This Row],[K2]])/2,IFERROR(INDEX(ispit[Ukupno], MATCH(Table9[[#This Row],[Indeks]]&amp;"1",ispit[Indeks]&amp;ispit[Rok],0)),0)*10)</f>
        <v>57.5</v>
      </c>
      <c r="L12" s="10" cm="1">
        <f t="array" ref="L12">IF(MAX(ROW(ispit[Indeks]) * (Table9[[#This Row],[Indeks]]=ispit[Indeks]) * ($S$1&gt;=ispit[Rok])) &gt; 0,10 * INDEX(ispit[Ukupno],SUMPRODUCT(MAX(ROW(ispit[Indeks]) * (Table9[[#This Row],[Indeks]]=ispit[Indeks]) * ($S$1&gt;=ispit[Rok])) - 1)),0)</f>
        <v>57.5</v>
      </c>
      <c r="M12" s="10">
        <f>IF(AND(Table9[[#This Row],[L]]&gt;=40,Table9[[#This Row],[I]]&gt;=40),0.2*Table9[[#This Row],[L]]+0.3*Table9[[#This Row],[D]]+0.2*Table9[[#This Row],[K]]+0.3*Table9[[#This Row],[I]],0)</f>
        <v>0</v>
      </c>
      <c r="N12" s="12">
        <f>IF(OR(Table9[[#This Row],[DZ rok]]=$S$1,Table9[[#This Row],[I rok]]=$S$1),MEDIAN(5,10,FLOOR((Table9[[#This Row],[P]] + 9.99)/10,1)),3)</f>
        <v>5</v>
      </c>
      <c r="O12" s="12" t="str">
        <f>IFERROR(VLOOKUP(Table9[[#This Row],[Indeks]],dz[],3,FALSE),"")</f>
        <v/>
      </c>
      <c r="P12" s="12" cm="1">
        <f t="array" ref="P12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2" s="2"/>
      <c r="R12" s="1"/>
    </row>
    <row r="13" spans="1:19" ht="15.6" x14ac:dyDescent="0.3">
      <c r="A13" s="10" t="s">
        <v>94</v>
      </c>
      <c r="B13" s="10" t="str">
        <f>VLOOKUP(Table9[[#This Row],[Indeks]],spisakStudenata[[Indeks]:[Prezime i ime (latinica)]],3,FALSE)</f>
        <v>Stojiljković Aleksa</v>
      </c>
      <c r="C13" s="10">
        <f>IFERROR(10 * VLOOKUP(Table9[[#This Row],[Indeks]],prviKolokvijum[[Indeks]:[K1]],13,FALSE),0)</f>
        <v>93.555555555555557</v>
      </c>
      <c r="D13" s="10">
        <f>IFERROR(VLOOKUP(Table9[[#This Row],[Indeks]],drugiKolokvijum[[Indeks]:[Ukupno]],13,FALSE),0)*10</f>
        <v>0</v>
      </c>
      <c r="E13" s="10">
        <f>IFERROR(VLOOKUP(Table9[[#This Row],[Indeks]],drugaLaboratorijskaVezba[],14,FALSE),0)</f>
        <v>0</v>
      </c>
      <c r="F13" s="10">
        <f>IFERROR(VLOOKUP(Table9[[#This Row],[Indeks]],cetvrtaLaboratorijskaVezba[],14,FALSE),0)</f>
        <v>0</v>
      </c>
      <c r="G13" s="10">
        <f>IFERROR(VLOOKUP(Table9[[#This Row],[Indeks]],dz[],4,FALSE),0)</f>
        <v>100</v>
      </c>
      <c r="H13" s="10">
        <f>IFERROR(VLOOKUP(Table9[[#This Row],[Indeks]],dz[],5,FALSE),0)</f>
        <v>100</v>
      </c>
      <c r="I13" s="10">
        <f>(MAX(Table9[[#This Row],[L2]],Table9[[#This Row],[DZ1]])+MAX(Table9[[#This Row],[L4]],Table9[[#This Row],[DZ2]]))/2</f>
        <v>100</v>
      </c>
      <c r="J13" s="10">
        <f>(Table9[[#This Row],[DZ1]]+Table9[[#This Row],[DZ2]])/2</f>
        <v>100</v>
      </c>
      <c r="K13" s="10" cm="1">
        <f t="array" ref="K13">MAX((Table9[[#This Row],[K1]]+Table9[[#This Row],[K2]])/2,IFERROR(INDEX(ispit[Ukupno], MATCH(Table9[[#This Row],[Indeks]]&amp;"1",ispit[Indeks]&amp;ispit[Rok],0)),0)*10)</f>
        <v>72.5</v>
      </c>
      <c r="L13" s="10" cm="1">
        <f t="array" ref="L13">IF(MAX(ROW(ispit[Indeks]) * (Table9[[#This Row],[Indeks]]=ispit[Indeks]) * ($S$1&gt;=ispit[Rok])) &gt; 0,10 * INDEX(ispit[Ukupno],SUMPRODUCT(MAX(ROW(ispit[Indeks]) * (Table9[[#This Row],[Indeks]]=ispit[Indeks]) * ($S$1&gt;=ispit[Rok])) - 1)),0)</f>
        <v>72.5</v>
      </c>
      <c r="M13" s="10">
        <f>IF(AND(Table9[[#This Row],[L]]&gt;=40,Table9[[#This Row],[I]]&gt;=40),0.2*Table9[[#This Row],[L]]+0.3*Table9[[#This Row],[D]]+0.2*Table9[[#This Row],[K]]+0.3*Table9[[#This Row],[I]],0)</f>
        <v>86.25</v>
      </c>
      <c r="N13" s="12">
        <f>IF(OR(Table9[[#This Row],[DZ rok]]=$S$1,Table9[[#This Row],[I rok]]=$S$1),MEDIAN(5,10,FLOOR((Table9[[#This Row],[P]] + 9.99)/10,1)),3)</f>
        <v>9</v>
      </c>
      <c r="O13" s="12">
        <f>IFERROR(VLOOKUP(Table9[[#This Row],[Indeks]],dz[],3,FALSE),"")</f>
        <v>1</v>
      </c>
      <c r="P13" s="12" cm="1">
        <f t="array" ref="P13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3" s="2"/>
      <c r="R13" s="1"/>
    </row>
    <row r="14" spans="1:19" ht="15.6" x14ac:dyDescent="0.3">
      <c r="A14" s="10" t="s">
        <v>108</v>
      </c>
      <c r="B14" s="10" t="str">
        <f>VLOOKUP(Table9[[#This Row],[Indeks]],spisakStudenata[[Indeks]:[Prezime i ime (latinica)]],3,FALSE)</f>
        <v>Stefanović Marija</v>
      </c>
      <c r="C14" s="10">
        <f>IFERROR(10 * VLOOKUP(Table9[[#This Row],[Indeks]],prviKolokvijum[[Indeks]:[K1]],13,FALSE),0)</f>
        <v>61.111111111111107</v>
      </c>
      <c r="D14" s="10">
        <f>IFERROR(VLOOKUP(Table9[[#This Row],[Indeks]],drugiKolokvijum[[Indeks]:[Ukupno]],13,FALSE),0)*10</f>
        <v>32.5</v>
      </c>
      <c r="E14" s="10">
        <f>IFERROR(VLOOKUP(Table9[[#This Row],[Indeks]],drugaLaboratorijskaVezba[],14,FALSE),0)</f>
        <v>0</v>
      </c>
      <c r="F14" s="10">
        <f>IFERROR(VLOOKUP(Table9[[#This Row],[Indeks]],cetvrtaLaboratorijskaVezba[],14,FALSE),0)</f>
        <v>65</v>
      </c>
      <c r="G14" s="10">
        <f>IFERROR(VLOOKUP(Table9[[#This Row],[Indeks]],dz[],4,FALSE),0)</f>
        <v>85</v>
      </c>
      <c r="H14" s="10">
        <f>IFERROR(VLOOKUP(Table9[[#This Row],[Indeks]],dz[],5,FALSE),0)</f>
        <v>80</v>
      </c>
      <c r="I14" s="10">
        <f>(MAX(Table9[[#This Row],[L2]],Table9[[#This Row],[DZ1]])+MAX(Table9[[#This Row],[L4]],Table9[[#This Row],[DZ2]]))/2</f>
        <v>82.5</v>
      </c>
      <c r="J14" s="10">
        <f>(Table9[[#This Row],[DZ1]]+Table9[[#This Row],[DZ2]])/2</f>
        <v>82.5</v>
      </c>
      <c r="K14" s="10" cm="1">
        <f t="array" ref="K14">MAX((Table9[[#This Row],[K1]]+Table9[[#This Row],[K2]])/2,IFERROR(INDEX(ispit[Ukupno], MATCH(Table9[[#This Row],[Indeks]]&amp;"1",ispit[Indeks]&amp;ispit[Rok],0)),0)*10)</f>
        <v>62.5</v>
      </c>
      <c r="L14" s="10" cm="1">
        <f t="array" ref="L14">IF(MAX(ROW(ispit[Indeks]) * (Table9[[#This Row],[Indeks]]=ispit[Indeks]) * ($S$1&gt;=ispit[Rok])) &gt; 0,10 * INDEX(ispit[Ukupno],SUMPRODUCT(MAX(ROW(ispit[Indeks]) * (Table9[[#This Row],[Indeks]]=ispit[Indeks]) * ($S$1&gt;=ispit[Rok])) - 1)),0)</f>
        <v>62.5</v>
      </c>
      <c r="M14" s="10">
        <f>IF(AND(Table9[[#This Row],[L]]&gt;=40,Table9[[#This Row],[I]]&gt;=40),0.2*Table9[[#This Row],[L]]+0.3*Table9[[#This Row],[D]]+0.2*Table9[[#This Row],[K]]+0.3*Table9[[#This Row],[I]],0)</f>
        <v>72.5</v>
      </c>
      <c r="N14" s="12">
        <f>IF(OR(Table9[[#This Row],[DZ rok]]=$S$1,Table9[[#This Row],[I rok]]=$S$1),MEDIAN(5,10,FLOOR((Table9[[#This Row],[P]] + 9.99)/10,1)),3)</f>
        <v>8</v>
      </c>
      <c r="O14" s="12">
        <f>IFERROR(VLOOKUP(Table9[[#This Row],[Indeks]],dz[],3,FALSE),"")</f>
        <v>1</v>
      </c>
      <c r="P14" s="12" cm="1">
        <f t="array" ref="P14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4" s="2"/>
      <c r="R14" s="1"/>
    </row>
    <row r="15" spans="1:19" ht="15.6" x14ac:dyDescent="0.3">
      <c r="A15" s="10" t="s">
        <v>96</v>
      </c>
      <c r="B15" s="10" t="str">
        <f>VLOOKUP(Table9[[#This Row],[Indeks]],spisakStudenata[[Indeks]:[Prezime i ime (latinica)]],3,FALSE)</f>
        <v>Spasojević Aleksandar</v>
      </c>
      <c r="C15" s="10">
        <f>IFERROR(10 * VLOOKUP(Table9[[#This Row],[Indeks]],prviKolokvijum[[Indeks]:[K1]],13,FALSE),0)</f>
        <v>68.555555555555557</v>
      </c>
      <c r="D15" s="10">
        <f>IFERROR(VLOOKUP(Table9[[#This Row],[Indeks]],drugiKolokvijum[[Indeks]:[Ukupno]],13,FALSE),0)*10</f>
        <v>27.200000000000003</v>
      </c>
      <c r="E15" s="10">
        <f>IFERROR(VLOOKUP(Table9[[#This Row],[Indeks]],drugaLaboratorijskaVezba[],14,FALSE),0)</f>
        <v>0</v>
      </c>
      <c r="F15" s="10">
        <f>IFERROR(VLOOKUP(Table9[[#This Row],[Indeks]],cetvrtaLaboratorijskaVezba[],14,FALSE),0)</f>
        <v>0</v>
      </c>
      <c r="G15" s="10">
        <f>IFERROR(VLOOKUP(Table9[[#This Row],[Indeks]],dz[],4,FALSE),0)</f>
        <v>100</v>
      </c>
      <c r="H15" s="10">
        <f>IFERROR(VLOOKUP(Table9[[#This Row],[Indeks]],dz[],5,FALSE),0)</f>
        <v>100</v>
      </c>
      <c r="I15" s="10">
        <f>(MAX(Table9[[#This Row],[L2]],Table9[[#This Row],[DZ1]])+MAX(Table9[[#This Row],[L4]],Table9[[#This Row],[DZ2]]))/2</f>
        <v>100</v>
      </c>
      <c r="J15" s="10">
        <f>(Table9[[#This Row],[DZ1]]+Table9[[#This Row],[DZ2]])/2</f>
        <v>100</v>
      </c>
      <c r="K15" s="10" cm="1">
        <f t="array" ref="K15">MAX((Table9[[#This Row],[K1]]+Table9[[#This Row],[K2]])/2,IFERROR(INDEX(ispit[Ukupno], MATCH(Table9[[#This Row],[Indeks]]&amp;"1",ispit[Indeks]&amp;ispit[Rok],0)),0)*10)</f>
        <v>66.100000000000009</v>
      </c>
      <c r="L15" s="10" cm="1">
        <f t="array" ref="L15">IF(MAX(ROW(ispit[Indeks]) * (Table9[[#This Row],[Indeks]]=ispit[Indeks]) * ($S$1&gt;=ispit[Rok])) &gt; 0,10 * INDEX(ispit[Ukupno],SUMPRODUCT(MAX(ROW(ispit[Indeks]) * (Table9[[#This Row],[Indeks]]=ispit[Indeks]) * ($S$1&gt;=ispit[Rok])) - 1)),0)</f>
        <v>66.100000000000009</v>
      </c>
      <c r="M15" s="10">
        <f>IF(AND(Table9[[#This Row],[L]]&gt;=40,Table9[[#This Row],[I]]&gt;=40),0.2*Table9[[#This Row],[L]]+0.3*Table9[[#This Row],[D]]+0.2*Table9[[#This Row],[K]]+0.3*Table9[[#This Row],[I]],0)</f>
        <v>83.05</v>
      </c>
      <c r="N15" s="12">
        <f>IF(OR(Table9[[#This Row],[DZ rok]]=$S$1,Table9[[#This Row],[I rok]]=$S$1),MEDIAN(5,10,FLOOR((Table9[[#This Row],[P]] + 9.99)/10,1)),3)</f>
        <v>9</v>
      </c>
      <c r="O15" s="12">
        <f>IFERROR(VLOOKUP(Table9[[#This Row],[Indeks]],dz[],3,FALSE),"")</f>
        <v>2</v>
      </c>
      <c r="P15" s="12" cm="1">
        <f t="array" ref="P15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5" s="2"/>
      <c r="R15" s="1"/>
    </row>
    <row r="16" spans="1:19" ht="15.6" x14ac:dyDescent="0.3">
      <c r="A16" s="10" t="s">
        <v>98</v>
      </c>
      <c r="B16" s="10" t="str">
        <f>VLOOKUP(Table9[[#This Row],[Indeks]],spisakStudenata[[Indeks]:[Prezime i ime (latinica)]],3,FALSE)</f>
        <v>Kovačević Miloš</v>
      </c>
      <c r="C16" s="10">
        <f>IFERROR(10 * VLOOKUP(Table9[[#This Row],[Indeks]],prviKolokvijum[[Indeks]:[K1]],13,FALSE),0)</f>
        <v>96.333333333333329</v>
      </c>
      <c r="D16" s="10">
        <f>IFERROR(VLOOKUP(Table9[[#This Row],[Indeks]],drugiKolokvijum[[Indeks]:[Ukupno]],13,FALSE),0)*10</f>
        <v>57.800000000000004</v>
      </c>
      <c r="E16" s="10">
        <f>IFERROR(VLOOKUP(Table9[[#This Row],[Indeks]],drugaLaboratorijskaVezba[],14,FALSE),0)</f>
        <v>0</v>
      </c>
      <c r="F16" s="10">
        <f>IFERROR(VLOOKUP(Table9[[#This Row],[Indeks]],cetvrtaLaboratorijskaVezba[],14,FALSE),0)</f>
        <v>0</v>
      </c>
      <c r="G16" s="10">
        <f>IFERROR(VLOOKUP(Table9[[#This Row],[Indeks]],dz[],4,FALSE),0)</f>
        <v>100</v>
      </c>
      <c r="H16" s="10">
        <f>IFERROR(VLOOKUP(Table9[[#This Row],[Indeks]],dz[],5,FALSE),0)</f>
        <v>100</v>
      </c>
      <c r="I16" s="10">
        <f>(MAX(Table9[[#This Row],[L2]],Table9[[#This Row],[DZ1]])+MAX(Table9[[#This Row],[L4]],Table9[[#This Row],[DZ2]]))/2</f>
        <v>100</v>
      </c>
      <c r="J16" s="10">
        <f>(Table9[[#This Row],[DZ1]]+Table9[[#This Row],[DZ2]])/2</f>
        <v>100</v>
      </c>
      <c r="K16" s="10" cm="1">
        <f t="array" ref="K16">MAX((Table9[[#This Row],[K1]]+Table9[[#This Row],[K2]])/2,IFERROR(INDEX(ispit[Ukupno], MATCH(Table9[[#This Row],[Indeks]]&amp;"1",ispit[Indeks]&amp;ispit[Rok],0)),0)*10)</f>
        <v>77.066666666666663</v>
      </c>
      <c r="L16" s="10" cm="1">
        <f t="array" ref="L16">IF(MAX(ROW(ispit[Indeks]) * (Table9[[#This Row],[Indeks]]=ispit[Indeks]) * ($S$1&gt;=ispit[Rok])) &gt; 0,10 * INDEX(ispit[Ukupno],SUMPRODUCT(MAX(ROW(ispit[Indeks]) * (Table9[[#This Row],[Indeks]]=ispit[Indeks]) * ($S$1&gt;=ispit[Rok])) - 1)),0)</f>
        <v>58.3</v>
      </c>
      <c r="M16" s="10">
        <f>IF(AND(Table9[[#This Row],[L]]&gt;=40,Table9[[#This Row],[I]]&gt;=40),0.2*Table9[[#This Row],[L]]+0.3*Table9[[#This Row],[D]]+0.2*Table9[[#This Row],[K]]+0.3*Table9[[#This Row],[I]],0)</f>
        <v>82.903333333333322</v>
      </c>
      <c r="N16" s="12">
        <f>IF(OR(Table9[[#This Row],[DZ rok]]=$S$1,Table9[[#This Row],[I rok]]=$S$1),MEDIAN(5,10,FLOOR((Table9[[#This Row],[P]] + 9.99)/10,1)),3)</f>
        <v>9</v>
      </c>
      <c r="O16" s="12">
        <f>IFERROR(VLOOKUP(Table9[[#This Row],[Indeks]],dz[],3,FALSE),"")</f>
        <v>3</v>
      </c>
      <c r="P16" s="12" cm="1">
        <f t="array" ref="P16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6" s="2"/>
      <c r="R16" s="1"/>
    </row>
    <row r="17" spans="1:18" ht="15.6" x14ac:dyDescent="0.3">
      <c r="A17" s="10" t="s">
        <v>100</v>
      </c>
      <c r="B17" s="10" t="str">
        <f>VLOOKUP(Table9[[#This Row],[Indeks]],spisakStudenata[[Indeks]:[Prezime i ime (latinica)]],3,FALSE)</f>
        <v>Mikanović Darko</v>
      </c>
      <c r="C17" s="10">
        <f>IFERROR(10 * VLOOKUP(Table9[[#This Row],[Indeks]],prviKolokvijum[[Indeks]:[K1]],13,FALSE),0)</f>
        <v>88.888888888888886</v>
      </c>
      <c r="D17" s="10">
        <f>IFERROR(VLOOKUP(Table9[[#This Row],[Indeks]],drugiKolokvijum[[Indeks]:[Ukupno]],13,FALSE),0)*10</f>
        <v>0</v>
      </c>
      <c r="E17" s="10">
        <f>IFERROR(VLOOKUP(Table9[[#This Row],[Indeks]],drugaLaboratorijskaVezba[],14,FALSE),0)</f>
        <v>0</v>
      </c>
      <c r="F17" s="10">
        <f>IFERROR(VLOOKUP(Table9[[#This Row],[Indeks]],cetvrtaLaboratorijskaVezba[],14,FALSE),0)</f>
        <v>0</v>
      </c>
      <c r="G17" s="10">
        <f>IFERROR(VLOOKUP(Table9[[#This Row],[Indeks]],dz[],4,FALSE),0)</f>
        <v>100</v>
      </c>
      <c r="H17" s="10">
        <f>IFERROR(VLOOKUP(Table9[[#This Row],[Indeks]],dz[],5,FALSE),0)</f>
        <v>100</v>
      </c>
      <c r="I17" s="10">
        <f>(MAX(Table9[[#This Row],[L2]],Table9[[#This Row],[DZ1]])+MAX(Table9[[#This Row],[L4]],Table9[[#This Row],[DZ2]]))/2</f>
        <v>100</v>
      </c>
      <c r="J17" s="10">
        <f>(Table9[[#This Row],[DZ1]]+Table9[[#This Row],[DZ2]])/2</f>
        <v>100</v>
      </c>
      <c r="K17" s="10" cm="1">
        <f t="array" ref="K17">MAX((Table9[[#This Row],[K1]]+Table9[[#This Row],[K2]])/2,IFERROR(INDEX(ispit[Ukupno], MATCH(Table9[[#This Row],[Indeks]]&amp;"1",ispit[Indeks]&amp;ispit[Rok],0)),0)*10)</f>
        <v>66.7</v>
      </c>
      <c r="L17" s="10" cm="1">
        <f t="array" ref="L17">IF(MAX(ROW(ispit[Indeks]) * (Table9[[#This Row],[Indeks]]=ispit[Indeks]) * ($S$1&gt;=ispit[Rok])) &gt; 0,10 * INDEX(ispit[Ukupno],SUMPRODUCT(MAX(ROW(ispit[Indeks]) * (Table9[[#This Row],[Indeks]]=ispit[Indeks]) * ($S$1&gt;=ispit[Rok])) - 1)),0)</f>
        <v>66.7</v>
      </c>
      <c r="M17" s="10">
        <f>IF(AND(Table9[[#This Row],[L]]&gt;=40,Table9[[#This Row],[I]]&gt;=40),0.2*Table9[[#This Row],[L]]+0.3*Table9[[#This Row],[D]]+0.2*Table9[[#This Row],[K]]+0.3*Table9[[#This Row],[I]],0)</f>
        <v>83.350000000000009</v>
      </c>
      <c r="N17" s="12">
        <f>IF(OR(Table9[[#This Row],[DZ rok]]=$S$1,Table9[[#This Row],[I rok]]=$S$1),MEDIAN(5,10,FLOOR((Table9[[#This Row],[P]] + 9.99)/10,1)),3)</f>
        <v>9</v>
      </c>
      <c r="O17" s="12">
        <f>IFERROR(VLOOKUP(Table9[[#This Row],[Indeks]],dz[],3,FALSE),"")</f>
        <v>1</v>
      </c>
      <c r="P17" s="12" cm="1">
        <f t="array" ref="P17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7" s="2"/>
      <c r="R17" s="1"/>
    </row>
    <row r="18" spans="1:18" ht="15.6" x14ac:dyDescent="0.3">
      <c r="A18" s="10" t="s">
        <v>102</v>
      </c>
      <c r="B18" s="10" t="str">
        <f>VLOOKUP(Table9[[#This Row],[Indeks]],spisakStudenata[[Indeks]:[Prezime i ime (latinica)]],3,FALSE)</f>
        <v>Vojinović Marko</v>
      </c>
      <c r="C18" s="10">
        <f>IFERROR(10 * VLOOKUP(Table9[[#This Row],[Indeks]],prviKolokvijum[[Indeks]:[K1]],13,FALSE),0)</f>
        <v>63.000000000000007</v>
      </c>
      <c r="D18" s="10">
        <f>IFERROR(VLOOKUP(Table9[[#This Row],[Indeks]],drugiKolokvijum[[Indeks]:[Ukupno]],13,FALSE),0)*10</f>
        <v>30.1</v>
      </c>
      <c r="E18" s="10">
        <f>IFERROR(VLOOKUP(Table9[[#This Row],[Indeks]],drugaLaboratorijskaVezba[],14,FALSE),0)</f>
        <v>0</v>
      </c>
      <c r="F18" s="10">
        <f>IFERROR(VLOOKUP(Table9[[#This Row],[Indeks]],cetvrtaLaboratorijskaVezba[],14,FALSE),0)</f>
        <v>0</v>
      </c>
      <c r="G18" s="10">
        <f>IFERROR(VLOOKUP(Table9[[#This Row],[Indeks]],dz[],4,FALSE),0)</f>
        <v>90</v>
      </c>
      <c r="H18" s="10">
        <f>IFERROR(VLOOKUP(Table9[[#This Row],[Indeks]],dz[],5,FALSE),0)</f>
        <v>80</v>
      </c>
      <c r="I18" s="10">
        <f>(MAX(Table9[[#This Row],[L2]],Table9[[#This Row],[DZ1]])+MAX(Table9[[#This Row],[L4]],Table9[[#This Row],[DZ2]]))/2</f>
        <v>85</v>
      </c>
      <c r="J18" s="10">
        <f>(Table9[[#This Row],[DZ1]]+Table9[[#This Row],[DZ2]])/2</f>
        <v>85</v>
      </c>
      <c r="K18" s="10" cm="1">
        <f t="array" ref="K18">MAX((Table9[[#This Row],[K1]]+Table9[[#This Row],[K2]])/2,IFERROR(INDEX(ispit[Ukupno], MATCH(Table9[[#This Row],[Indeks]]&amp;"1",ispit[Indeks]&amp;ispit[Rok],0)),0)*10)</f>
        <v>46.550000000000004</v>
      </c>
      <c r="L18" s="10" cm="1">
        <f t="array" ref="L18">IF(MAX(ROW(ispit[Indeks]) * (Table9[[#This Row],[Indeks]]=ispit[Indeks]) * ($S$1&gt;=ispit[Rok])) &gt; 0,10 * INDEX(ispit[Ukupno],SUMPRODUCT(MAX(ROW(ispit[Indeks]) * (Table9[[#This Row],[Indeks]]=ispit[Indeks]) * ($S$1&gt;=ispit[Rok])) - 1)),0)</f>
        <v>40.099999999999994</v>
      </c>
      <c r="M18" s="10">
        <f>IF(AND(Table9[[#This Row],[L]]&gt;=40,Table9[[#This Row],[I]]&gt;=40),0.2*Table9[[#This Row],[L]]+0.3*Table9[[#This Row],[D]]+0.2*Table9[[#This Row],[K]]+0.3*Table9[[#This Row],[I]],0)</f>
        <v>63.84</v>
      </c>
      <c r="N18" s="12">
        <f>IF(OR(Table9[[#This Row],[DZ rok]]=$S$1,Table9[[#This Row],[I rok]]=$S$1),MEDIAN(5,10,FLOOR((Table9[[#This Row],[P]] + 9.99)/10,1)),3)</f>
        <v>7</v>
      </c>
      <c r="O18" s="12">
        <f>IFERROR(VLOOKUP(Table9[[#This Row],[Indeks]],dz[],3,FALSE),"")</f>
        <v>3</v>
      </c>
      <c r="P18" s="12" cm="1">
        <f t="array" ref="P18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8" s="2"/>
      <c r="R18" s="1"/>
    </row>
    <row r="19" spans="1:18" ht="15.6" x14ac:dyDescent="0.3">
      <c r="A19" s="10" t="s">
        <v>110</v>
      </c>
      <c r="B19" s="10" t="str">
        <f>VLOOKUP(Table9[[#This Row],[Indeks]],spisakStudenata[[Indeks]:[Prezime i ime (latinica)]],3,FALSE)</f>
        <v>Mandušić Danilo</v>
      </c>
      <c r="C19" s="10">
        <f>IFERROR(10 * VLOOKUP(Table9[[#This Row],[Indeks]],prviKolokvijum[[Indeks]:[K1]],13,FALSE),0)</f>
        <v>42.555555555555557</v>
      </c>
      <c r="D19" s="10">
        <f>IFERROR(VLOOKUP(Table9[[#This Row],[Indeks]],drugiKolokvijum[[Indeks]:[Ukupno]],13,FALSE),0)*10</f>
        <v>18.599999999999998</v>
      </c>
      <c r="E19" s="10">
        <f>IFERROR(VLOOKUP(Table9[[#This Row],[Indeks]],drugaLaboratorijskaVezba[],14,FALSE),0)</f>
        <v>0</v>
      </c>
      <c r="F19" s="10">
        <f>IFERROR(VLOOKUP(Table9[[#This Row],[Indeks]],cetvrtaLaboratorijskaVezba[],14,FALSE),0)</f>
        <v>0</v>
      </c>
      <c r="G19" s="10">
        <f>IFERROR(VLOOKUP(Table9[[#This Row],[Indeks]],dz[],4,FALSE),0)</f>
        <v>70</v>
      </c>
      <c r="H19" s="10">
        <f>IFERROR(VLOOKUP(Table9[[#This Row],[Indeks]],dz[],5,FALSE),0)</f>
        <v>90</v>
      </c>
      <c r="I19" s="10">
        <f>(MAX(Table9[[#This Row],[L2]],Table9[[#This Row],[DZ1]])+MAX(Table9[[#This Row],[L4]],Table9[[#This Row],[DZ2]]))/2</f>
        <v>80</v>
      </c>
      <c r="J19" s="10">
        <f>(Table9[[#This Row],[DZ1]]+Table9[[#This Row],[DZ2]])/2</f>
        <v>80</v>
      </c>
      <c r="K19" s="10" cm="1">
        <f t="array" ref="K19">MAX((Table9[[#This Row],[K1]]+Table9[[#This Row],[K2]])/2,IFERROR(INDEX(ispit[Ukupno], MATCH(Table9[[#This Row],[Indeks]]&amp;"1",ispit[Indeks]&amp;ispit[Rok],0)),0)*10)</f>
        <v>30.577777777777776</v>
      </c>
      <c r="L19" s="10" cm="1">
        <f t="array" ref="L19">IF(MAX(ROW(ispit[Indeks]) * (Table9[[#This Row],[Indeks]]=ispit[Indeks]) * ($S$1&gt;=ispit[Rok])) &gt; 0,10 * INDEX(ispit[Ukupno],SUMPRODUCT(MAX(ROW(ispit[Indeks]) * (Table9[[#This Row],[Indeks]]=ispit[Indeks]) * ($S$1&gt;=ispit[Rok])) - 1)),0)</f>
        <v>20.6</v>
      </c>
      <c r="M19" s="10">
        <f>IF(AND(Table9[[#This Row],[L]]&gt;=40,Table9[[#This Row],[I]]&gt;=40),0.2*Table9[[#This Row],[L]]+0.3*Table9[[#This Row],[D]]+0.2*Table9[[#This Row],[K]]+0.3*Table9[[#This Row],[I]],0)</f>
        <v>0</v>
      </c>
      <c r="N19" s="12">
        <f>IF(OR(Table9[[#This Row],[DZ rok]]=$S$1,Table9[[#This Row],[I rok]]=$S$1),MEDIAN(5,10,FLOOR((Table9[[#This Row],[P]] + 9.99)/10,1)),3)</f>
        <v>5</v>
      </c>
      <c r="O19" s="12">
        <f>IFERROR(VLOOKUP(Table9[[#This Row],[Indeks]],dz[],3,FALSE),"")</f>
        <v>3</v>
      </c>
      <c r="P19" s="12" cm="1">
        <f t="array" ref="P19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19" s="2"/>
      <c r="R19" s="1"/>
    </row>
    <row r="20" spans="1:18" ht="15.6" x14ac:dyDescent="0.3">
      <c r="A20" s="10" t="s">
        <v>104</v>
      </c>
      <c r="B20" s="10" t="str">
        <f>VLOOKUP(Table9[[#This Row],[Indeks]],spisakStudenata[[Indeks]:[Prezime i ime (latinica)]],3,FALSE)</f>
        <v>Kurepa Anja</v>
      </c>
      <c r="C20" s="10">
        <f>IFERROR(10 * VLOOKUP(Table9[[#This Row],[Indeks]],prviKolokvijum[[Indeks]:[K1]],13,FALSE),0)</f>
        <v>68.555555555555557</v>
      </c>
      <c r="D20" s="10">
        <f>IFERROR(VLOOKUP(Table9[[#This Row],[Indeks]],drugiKolokvijum[[Indeks]:[Ukupno]],13,FALSE),0)*10</f>
        <v>42.5</v>
      </c>
      <c r="E20" s="10">
        <f>IFERROR(VLOOKUP(Table9[[#This Row],[Indeks]],drugaLaboratorijskaVezba[],14,FALSE),0)</f>
        <v>10</v>
      </c>
      <c r="F20" s="10">
        <f>IFERROR(VLOOKUP(Table9[[#This Row],[Indeks]],cetvrtaLaboratorijskaVezba[],14,FALSE),0)</f>
        <v>0</v>
      </c>
      <c r="G20" s="10">
        <f>IFERROR(VLOOKUP(Table9[[#This Row],[Indeks]],dz[],4,FALSE),0)</f>
        <v>100</v>
      </c>
      <c r="H20" s="10">
        <f>IFERROR(VLOOKUP(Table9[[#This Row],[Indeks]],dz[],5,FALSE),0)</f>
        <v>100</v>
      </c>
      <c r="I20" s="10">
        <f>(MAX(Table9[[#This Row],[L2]],Table9[[#This Row],[DZ1]])+MAX(Table9[[#This Row],[L4]],Table9[[#This Row],[DZ2]]))/2</f>
        <v>100</v>
      </c>
      <c r="J20" s="10">
        <f>(Table9[[#This Row],[DZ1]]+Table9[[#This Row],[DZ2]])/2</f>
        <v>100</v>
      </c>
      <c r="K20" s="10" cm="1">
        <f t="array" ref="K20">MAX((Table9[[#This Row],[K1]]+Table9[[#This Row],[K2]])/2,IFERROR(INDEX(ispit[Ukupno], MATCH(Table9[[#This Row],[Indeks]]&amp;"1",ispit[Indeks]&amp;ispit[Rok],0)),0)*10)</f>
        <v>61.3</v>
      </c>
      <c r="L20" s="10" cm="1">
        <f t="array" ref="L20">IF(MAX(ROW(ispit[Indeks]) * (Table9[[#This Row],[Indeks]]=ispit[Indeks]) * ($S$1&gt;=ispit[Rok])) &gt; 0,10 * INDEX(ispit[Ukupno],SUMPRODUCT(MAX(ROW(ispit[Indeks]) * (Table9[[#This Row],[Indeks]]=ispit[Indeks]) * ($S$1&gt;=ispit[Rok])) - 1)),0)</f>
        <v>61.3</v>
      </c>
      <c r="M20" s="10">
        <f>IF(AND(Table9[[#This Row],[L]]&gt;=40,Table9[[#This Row],[I]]&gt;=40),0.2*Table9[[#This Row],[L]]+0.3*Table9[[#This Row],[D]]+0.2*Table9[[#This Row],[K]]+0.3*Table9[[#This Row],[I]],0)</f>
        <v>80.649999999999991</v>
      </c>
      <c r="N20" s="12">
        <f>IF(OR(Table9[[#This Row],[DZ rok]]=$S$1,Table9[[#This Row],[I rok]]=$S$1),MEDIAN(5,10,FLOOR((Table9[[#This Row],[P]] + 9.99)/10,1)),3)</f>
        <v>9</v>
      </c>
      <c r="O20" s="12">
        <f>IFERROR(VLOOKUP(Table9[[#This Row],[Indeks]],dz[],3,FALSE),"")</f>
        <v>2</v>
      </c>
      <c r="P20" s="12" cm="1">
        <f t="array" ref="P20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20" s="2"/>
      <c r="R20" s="1"/>
    </row>
    <row r="21" spans="1:18" ht="15.6" x14ac:dyDescent="0.3">
      <c r="A21" s="10" t="s">
        <v>112</v>
      </c>
      <c r="B21" s="10" t="str">
        <f>VLOOKUP(Table9[[#This Row],[Indeks]],spisakStudenata[[Indeks]:[Prezime i ime (latinica)]],3,FALSE)</f>
        <v>Dragutinović Marko</v>
      </c>
      <c r="C21" s="10">
        <f>IFERROR(10 * VLOOKUP(Table9[[#This Row],[Indeks]],prviKolokvijum[[Indeks]:[K1]],13,FALSE),0)</f>
        <v>52.777777777777779</v>
      </c>
      <c r="D21" s="10">
        <f>IFERROR(VLOOKUP(Table9[[#This Row],[Indeks]],drugiKolokvijum[[Indeks]:[Ukupno]],13,FALSE),0)*10</f>
        <v>0</v>
      </c>
      <c r="E21" s="10">
        <f>IFERROR(VLOOKUP(Table9[[#This Row],[Indeks]],drugaLaboratorijskaVezba[],14,FALSE),0)</f>
        <v>0</v>
      </c>
      <c r="F21" s="10">
        <f>IFERROR(VLOOKUP(Table9[[#This Row],[Indeks]],cetvrtaLaboratorijskaVezba[],14,FALSE),0)</f>
        <v>0</v>
      </c>
      <c r="G21" s="10">
        <f>IFERROR(VLOOKUP(Table9[[#This Row],[Indeks]],dz[],4,FALSE),0)</f>
        <v>0</v>
      </c>
      <c r="H21" s="10">
        <f>IFERROR(VLOOKUP(Table9[[#This Row],[Indeks]],dz[],5,FALSE),0)</f>
        <v>0</v>
      </c>
      <c r="I21" s="10">
        <f>(MAX(Table9[[#This Row],[L2]],Table9[[#This Row],[DZ1]])+MAX(Table9[[#This Row],[L4]],Table9[[#This Row],[DZ2]]))/2</f>
        <v>0</v>
      </c>
      <c r="J21" s="10">
        <f>(Table9[[#This Row],[DZ1]]+Table9[[#This Row],[DZ2]])/2</f>
        <v>0</v>
      </c>
      <c r="K21" s="10" cm="1">
        <f t="array" ref="K21">MAX((Table9[[#This Row],[K1]]+Table9[[#This Row],[K2]])/2,IFERROR(INDEX(ispit[Ukupno], MATCH(Table9[[#This Row],[Indeks]]&amp;"1",ispit[Indeks]&amp;ispit[Rok],0)),0)*10)</f>
        <v>26.388888888888889</v>
      </c>
      <c r="L21" s="10" cm="1">
        <f t="array" ref="L21">IF(MAX(ROW(ispit[Indeks]) * (Table9[[#This Row],[Indeks]]=ispit[Indeks]) * ($S$1&gt;=ispit[Rok])) &gt; 0,10 * INDEX(ispit[Ukupno],SUMPRODUCT(MAX(ROW(ispit[Indeks]) * (Table9[[#This Row],[Indeks]]=ispit[Indeks]) * ($S$1&gt;=ispit[Rok])) - 1)),0)</f>
        <v>0</v>
      </c>
      <c r="M21" s="10">
        <f>IF(AND(Table9[[#This Row],[L]]&gt;=40,Table9[[#This Row],[I]]&gt;=40),0.2*Table9[[#This Row],[L]]+0.3*Table9[[#This Row],[D]]+0.2*Table9[[#This Row],[K]]+0.3*Table9[[#This Row],[I]],0)</f>
        <v>0</v>
      </c>
      <c r="N21" s="12">
        <f>IF(OR(Table9[[#This Row],[DZ rok]]=$S$1,Table9[[#This Row],[I rok]]=$S$1),MEDIAN(5,10,FLOOR((Table9[[#This Row],[P]] + 9.99)/10,1)),3)</f>
        <v>3</v>
      </c>
      <c r="O21" s="10" t="str">
        <f>IFERROR(VLOOKUP(Table9[[#This Row],[Indeks]],dz[],3,FALSE),"")</f>
        <v/>
      </c>
      <c r="P21" s="12" cm="1">
        <f t="array" ref="P21">IF(MAX(ROW(ispit[Indeks]) * (Table9[[#This Row],[Indeks]]=ispit[Indeks]) * ($S$1&gt;=ispit[Rok])) &gt; 0,INDEX(ispit[Rok],SUMPRODUCT(MAX(ROW(ispit[Indeks]) * (Table9[[#This Row],[Indeks]]=ispit[Indeks]) * ($S$1&gt;=ispit[Rok])) - 1)),0)</f>
        <v>0</v>
      </c>
      <c r="Q21" s="2"/>
      <c r="R21" s="1"/>
    </row>
    <row r="22" spans="1:18" ht="15.6" x14ac:dyDescent="0.3">
      <c r="A22" s="10" t="s">
        <v>114</v>
      </c>
      <c r="B22" s="10" t="str">
        <f>VLOOKUP(Table9[[#This Row],[Indeks]],spisakStudenata[[Indeks]:[Prezime i ime (latinica)]],3,FALSE)</f>
        <v>Zorić Ana</v>
      </c>
      <c r="C22" s="10">
        <f>IFERROR(10 * VLOOKUP(Table9[[#This Row],[Indeks]],prviKolokvijum[[Indeks]:[K1]],13,FALSE),0)</f>
        <v>0</v>
      </c>
      <c r="D22" s="10">
        <f>IFERROR(VLOOKUP(Table9[[#This Row],[Indeks]],drugiKolokvijum[[Indeks]:[Ukupno]],13,FALSE),0)*10</f>
        <v>0</v>
      </c>
      <c r="E22" s="10">
        <f>IFERROR(VLOOKUP(Table9[[#This Row],[Indeks]],drugaLaboratorijskaVezba[],14,FALSE),0)</f>
        <v>0</v>
      </c>
      <c r="F22" s="10">
        <f>IFERROR(VLOOKUP(Table9[[#This Row],[Indeks]],cetvrtaLaboratorijskaVezba[],14,FALSE),0)</f>
        <v>0</v>
      </c>
      <c r="G22" s="10">
        <f>IFERROR(VLOOKUP(Table9[[#This Row],[Indeks]],dz[],4,FALSE),0)</f>
        <v>0</v>
      </c>
      <c r="H22" s="10">
        <f>IFERROR(VLOOKUP(Table9[[#This Row],[Indeks]],dz[],5,FALSE),0)</f>
        <v>0</v>
      </c>
      <c r="I22" s="10">
        <f>(MAX(Table9[[#This Row],[L2]],Table9[[#This Row],[DZ1]])+MAX(Table9[[#This Row],[L4]],Table9[[#This Row],[DZ2]]))/2</f>
        <v>0</v>
      </c>
      <c r="J22" s="10">
        <f>(Table9[[#This Row],[DZ1]]+Table9[[#This Row],[DZ2]])/2</f>
        <v>0</v>
      </c>
      <c r="K22" s="10" cm="1">
        <f t="array" ref="K22">MAX((Table9[[#This Row],[K1]]+Table9[[#This Row],[K2]])/2,IFERROR(INDEX(ispit[Ukupno], MATCH(Table9[[#This Row],[Indeks]]&amp;"1",ispit[Indeks]&amp;ispit[Rok],0)),0)*10)</f>
        <v>52</v>
      </c>
      <c r="L22" s="10" cm="1">
        <f t="array" ref="L22">IF(MAX(ROW(ispit[Indeks]) * (Table9[[#This Row],[Indeks]]=ispit[Indeks]) * ($S$1&gt;=ispit[Rok])) &gt; 0,10 * INDEX(ispit[Ukupno],SUMPRODUCT(MAX(ROW(ispit[Indeks]) * (Table9[[#This Row],[Indeks]]=ispit[Indeks]) * ($S$1&gt;=ispit[Rok])) - 1)),0)</f>
        <v>52</v>
      </c>
      <c r="M22" s="10">
        <f>IF(AND(Table9[[#This Row],[L]]&gt;=40,Table9[[#This Row],[I]]&gt;=40),0.2*Table9[[#This Row],[L]]+0.3*Table9[[#This Row],[D]]+0.2*Table9[[#This Row],[K]]+0.3*Table9[[#This Row],[I]],0)</f>
        <v>0</v>
      </c>
      <c r="N22" s="12">
        <f>IF(OR(Table9[[#This Row],[DZ rok]]=$S$1,Table9[[#This Row],[I rok]]=$S$1),MEDIAN(5,10,FLOOR((Table9[[#This Row],[P]] + 9.99)/10,1)),3)</f>
        <v>5</v>
      </c>
      <c r="O22" s="12" t="str">
        <f>IFERROR(VLOOKUP(Table9[[#This Row],[Indeks]],dz[],3,FALSE),"")</f>
        <v/>
      </c>
      <c r="P22" s="12" cm="1">
        <f t="array" ref="P22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22" s="2"/>
      <c r="R22" s="1"/>
    </row>
    <row r="23" spans="1:18" ht="15.6" x14ac:dyDescent="0.3">
      <c r="A23" s="10" t="s">
        <v>116</v>
      </c>
      <c r="B23" s="10" t="str">
        <f>VLOOKUP(Table9[[#This Row],[Indeks]],spisakStudenata[[Indeks]:[Prezime i ime (latinica)]],3,FALSE)</f>
        <v>Perić Dragan</v>
      </c>
      <c r="C23" s="10">
        <f>IFERROR(10 * VLOOKUP(Table9[[#This Row],[Indeks]],prviKolokvijum[[Indeks]:[K1]],13,FALSE),0)</f>
        <v>100</v>
      </c>
      <c r="D23" s="10">
        <f>IFERROR(VLOOKUP(Table9[[#This Row],[Indeks]],drugiKolokvijum[[Indeks]:[Ukupno]],13,FALSE),0)*10</f>
        <v>75.8</v>
      </c>
      <c r="E23" s="10">
        <f>IFERROR(VLOOKUP(Table9[[#This Row],[Indeks]],drugaLaboratorijskaVezba[],14,FALSE),0)</f>
        <v>10</v>
      </c>
      <c r="F23" s="10">
        <f>IFERROR(VLOOKUP(Table9[[#This Row],[Indeks]],cetvrtaLaboratorijskaVezba[],14,FALSE),0)</f>
        <v>65</v>
      </c>
      <c r="G23" s="10">
        <f>IFERROR(VLOOKUP(Table9[[#This Row],[Indeks]],dz[],4,FALSE),0)</f>
        <v>0</v>
      </c>
      <c r="H23" s="10">
        <f>IFERROR(VLOOKUP(Table9[[#This Row],[Indeks]],dz[],5,FALSE),0)</f>
        <v>0</v>
      </c>
      <c r="I23" s="10">
        <f>(MAX(Table9[[#This Row],[L2]],Table9[[#This Row],[DZ1]])+MAX(Table9[[#This Row],[L4]],Table9[[#This Row],[DZ2]]))/2</f>
        <v>37.5</v>
      </c>
      <c r="J23" s="10">
        <f>(Table9[[#This Row],[DZ1]]+Table9[[#This Row],[DZ2]])/2</f>
        <v>0</v>
      </c>
      <c r="K23" s="10" cm="1">
        <f t="array" ref="K23">MAX((Table9[[#This Row],[K1]]+Table9[[#This Row],[K2]])/2,IFERROR(INDEX(ispit[Ukupno], MATCH(Table9[[#This Row],[Indeks]]&amp;"1",ispit[Indeks]&amp;ispit[Rok],0)),0)*10)</f>
        <v>87.9</v>
      </c>
      <c r="L23" s="10" cm="1">
        <f t="array" ref="L23">IF(MAX(ROW(ispit[Indeks]) * (Table9[[#This Row],[Indeks]]=ispit[Indeks]) * ($S$1&gt;=ispit[Rok])) &gt; 0,10 * INDEX(ispit[Ukupno],SUMPRODUCT(MAX(ROW(ispit[Indeks]) * (Table9[[#This Row],[Indeks]]=ispit[Indeks]) * ($S$1&gt;=ispit[Rok])) - 1)),0)</f>
        <v>71.7</v>
      </c>
      <c r="M23" s="10">
        <f>IF(AND(Table9[[#This Row],[L]]&gt;=40,Table9[[#This Row],[I]]&gt;=40),0.2*Table9[[#This Row],[L]]+0.3*Table9[[#This Row],[D]]+0.2*Table9[[#This Row],[K]]+0.3*Table9[[#This Row],[I]],0)</f>
        <v>0</v>
      </c>
      <c r="N23" s="12">
        <f>IF(OR(Table9[[#This Row],[DZ rok]]=$S$1,Table9[[#This Row],[I rok]]=$S$1),MEDIAN(5,10,FLOOR((Table9[[#This Row],[P]] + 9.99)/10,1)),3)</f>
        <v>5</v>
      </c>
      <c r="O23" s="12" t="str">
        <f>IFERROR(VLOOKUP(Table9[[#This Row],[Indeks]],dz[],3,FALSE),"")</f>
        <v/>
      </c>
      <c r="P23" s="12" cm="1">
        <f t="array" ref="P23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23" s="2"/>
      <c r="R23" s="1"/>
    </row>
    <row r="24" spans="1:18" ht="15.6" x14ac:dyDescent="0.3">
      <c r="A24" s="10" t="s">
        <v>118</v>
      </c>
      <c r="B24" s="10" t="str">
        <f>VLOOKUP(Table9[[#This Row],[Indeks]],spisakStudenata[[Indeks]:[Prezime i ime (latinica)]],3,FALSE)</f>
        <v>Samardžić Lea</v>
      </c>
      <c r="C24" s="10">
        <f>IFERROR(10 * VLOOKUP(Table9[[#This Row],[Indeks]],prviKolokvijum[[Indeks]:[K1]],13,FALSE),0)</f>
        <v>72.222222222222229</v>
      </c>
      <c r="D24" s="10">
        <f>IFERROR(VLOOKUP(Table9[[#This Row],[Indeks]],drugiKolokvijum[[Indeks]:[Ukupno]],13,FALSE),0)*10</f>
        <v>80</v>
      </c>
      <c r="E24" s="10">
        <f>IFERROR(VLOOKUP(Table9[[#This Row],[Indeks]],drugaLaboratorijskaVezba[],14,FALSE),0)</f>
        <v>5</v>
      </c>
      <c r="F24" s="10">
        <f>IFERROR(VLOOKUP(Table9[[#This Row],[Indeks]],cetvrtaLaboratorijskaVezba[],14,FALSE),0)</f>
        <v>0</v>
      </c>
      <c r="G24" s="10">
        <f>IFERROR(VLOOKUP(Table9[[#This Row],[Indeks]],dz[],4,FALSE),0)</f>
        <v>100</v>
      </c>
      <c r="H24" s="10">
        <f>IFERROR(VLOOKUP(Table9[[#This Row],[Indeks]],dz[],5,FALSE),0)</f>
        <v>100</v>
      </c>
      <c r="I24" s="10">
        <f>(MAX(Table9[[#This Row],[L2]],Table9[[#This Row],[DZ1]])+MAX(Table9[[#This Row],[L4]],Table9[[#This Row],[DZ2]]))/2</f>
        <v>100</v>
      </c>
      <c r="J24" s="10">
        <f>(Table9[[#This Row],[DZ1]]+Table9[[#This Row],[DZ2]])/2</f>
        <v>100</v>
      </c>
      <c r="K24" s="10" cm="1">
        <f t="array" ref="K24">MAX((Table9[[#This Row],[K1]]+Table9[[#This Row],[K2]])/2,IFERROR(INDEX(ispit[Ukupno], MATCH(Table9[[#This Row],[Indeks]]&amp;"1",ispit[Indeks]&amp;ispit[Rok],0)),0)*10)</f>
        <v>76.111111111111114</v>
      </c>
      <c r="L24" s="10" cm="1">
        <f t="array" ref="L24">IF(MAX(ROW(ispit[Indeks]) * (Table9[[#This Row],[Indeks]]=ispit[Indeks]) * ($S$1&gt;=ispit[Rok])) &gt; 0,10 * INDEX(ispit[Ukupno],SUMPRODUCT(MAX(ROW(ispit[Indeks]) * (Table9[[#This Row],[Indeks]]=ispit[Indeks]) * ($S$1&gt;=ispit[Rok])) - 1)),0)</f>
        <v>50.8</v>
      </c>
      <c r="M24" s="10">
        <f>IF(AND(Table9[[#This Row],[L]]&gt;=40,Table9[[#This Row],[I]]&gt;=40),0.2*Table9[[#This Row],[L]]+0.3*Table9[[#This Row],[D]]+0.2*Table9[[#This Row],[K]]+0.3*Table9[[#This Row],[I]],0)</f>
        <v>80.462222222222223</v>
      </c>
      <c r="N24" s="12">
        <f>IF(OR(Table9[[#This Row],[DZ rok]]=$S$1,Table9[[#This Row],[I rok]]=$S$1),MEDIAN(5,10,FLOOR((Table9[[#This Row],[P]] + 9.99)/10,1)),3)</f>
        <v>9</v>
      </c>
      <c r="O24" s="12">
        <f>IFERROR(VLOOKUP(Table9[[#This Row],[Indeks]],dz[],3,FALSE),"")</f>
        <v>4</v>
      </c>
      <c r="P24" s="12" cm="1">
        <f t="array" ref="P24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24" s="2"/>
      <c r="R24" s="1"/>
    </row>
    <row r="25" spans="1:18" ht="15.6" x14ac:dyDescent="0.3">
      <c r="A25" s="10" t="s">
        <v>120</v>
      </c>
      <c r="B25" s="10" t="str">
        <f>VLOOKUP(Table9[[#This Row],[Indeks]],spisakStudenata[[Indeks]:[Prezime i ime (latinica)]],3,FALSE)</f>
        <v>Majstorović Ljubica</v>
      </c>
      <c r="C25" s="10">
        <f>IFERROR(10 * VLOOKUP(Table9[[#This Row],[Indeks]],prviKolokvijum[[Indeks]:[K1]],13,FALSE),0)</f>
        <v>88.888888888888886</v>
      </c>
      <c r="D25" s="10">
        <f>IFERROR(VLOOKUP(Table9[[#This Row],[Indeks]],drugiKolokvijum[[Indeks]:[Ukupno]],13,FALSE),0)*10</f>
        <v>34.300000000000004</v>
      </c>
      <c r="E25" s="10">
        <f>IFERROR(VLOOKUP(Table9[[#This Row],[Indeks]],drugaLaboratorijskaVezba[],14,FALSE),0)</f>
        <v>0</v>
      </c>
      <c r="F25" s="10">
        <f>IFERROR(VLOOKUP(Table9[[#This Row],[Indeks]],cetvrtaLaboratorijskaVezba[],14,FALSE),0)</f>
        <v>0</v>
      </c>
      <c r="G25" s="10">
        <f>IFERROR(VLOOKUP(Table9[[#This Row],[Indeks]],dz[],4,FALSE),0)</f>
        <v>100</v>
      </c>
      <c r="H25" s="10">
        <f>IFERROR(VLOOKUP(Table9[[#This Row],[Indeks]],dz[],5,FALSE),0)</f>
        <v>100</v>
      </c>
      <c r="I25" s="10">
        <f>(MAX(Table9[[#This Row],[L2]],Table9[[#This Row],[DZ1]])+MAX(Table9[[#This Row],[L4]],Table9[[#This Row],[DZ2]]))/2</f>
        <v>100</v>
      </c>
      <c r="J25" s="10">
        <f>(Table9[[#This Row],[DZ1]]+Table9[[#This Row],[DZ2]])/2</f>
        <v>100</v>
      </c>
      <c r="K25" s="10" cm="1">
        <f t="array" ref="K25">MAX((Table9[[#This Row],[K1]]+Table9[[#This Row],[K2]])/2,IFERROR(INDEX(ispit[Ukupno], MATCH(Table9[[#This Row],[Indeks]]&amp;"1",ispit[Indeks]&amp;ispit[Rok],0)),0)*10)</f>
        <v>61.594444444444449</v>
      </c>
      <c r="L25" s="10" cm="1">
        <f t="array" ref="L25">IF(MAX(ROW(ispit[Indeks]) * (Table9[[#This Row],[Indeks]]=ispit[Indeks]) * ($S$1&gt;=ispit[Rok])) &gt; 0,10 * INDEX(ispit[Ukupno],SUMPRODUCT(MAX(ROW(ispit[Indeks]) * (Table9[[#This Row],[Indeks]]=ispit[Indeks]) * ($S$1&gt;=ispit[Rok])) - 1)),0)</f>
        <v>0</v>
      </c>
      <c r="M25" s="10">
        <f>IF(AND(Table9[[#This Row],[L]]&gt;=40,Table9[[#This Row],[I]]&gt;=40),0.2*Table9[[#This Row],[L]]+0.3*Table9[[#This Row],[D]]+0.2*Table9[[#This Row],[K]]+0.3*Table9[[#This Row],[I]],0)</f>
        <v>0</v>
      </c>
      <c r="N25" s="12">
        <f>IF(OR(Table9[[#This Row],[DZ rok]]=$S$1,Table9[[#This Row],[I rok]]=$S$1),MEDIAN(5,10,FLOOR((Table9[[#This Row],[P]] + 9.99)/10,1)),3)</f>
        <v>3</v>
      </c>
      <c r="O25" s="10">
        <f>IFERROR(VLOOKUP(Table9[[#This Row],[Indeks]],dz[],3,FALSE),"")</f>
        <v>4</v>
      </c>
      <c r="P25" s="12" cm="1">
        <f t="array" ref="P25">IF(MAX(ROW(ispit[Indeks]) * (Table9[[#This Row],[Indeks]]=ispit[Indeks]) * ($S$1&gt;=ispit[Rok])) &gt; 0,INDEX(ispit[Rok],SUMPRODUCT(MAX(ROW(ispit[Indeks]) * (Table9[[#This Row],[Indeks]]=ispit[Indeks]) * ($S$1&gt;=ispit[Rok])) - 1)),0)</f>
        <v>0</v>
      </c>
      <c r="Q25" s="2"/>
      <c r="R25" s="1"/>
    </row>
    <row r="26" spans="1:18" ht="15.6" x14ac:dyDescent="0.3">
      <c r="A26" s="10" t="s">
        <v>122</v>
      </c>
      <c r="B26" s="10" t="str">
        <f>VLOOKUP(Table9[[#This Row],[Indeks]],spisakStudenata[[Indeks]:[Prezime i ime (latinica)]],3,FALSE)</f>
        <v>Jovanović Milena</v>
      </c>
      <c r="C26" s="10">
        <f>IFERROR(10 * VLOOKUP(Table9[[#This Row],[Indeks]],prviKolokvijum[[Indeks]:[K1]],13,FALSE),0)</f>
        <v>66.666666666666671</v>
      </c>
      <c r="D26" s="10">
        <f>IFERROR(VLOOKUP(Table9[[#This Row],[Indeks]],drugiKolokvijum[[Indeks]:[Ukupno]],13,FALSE),0)*10</f>
        <v>35.699999999999996</v>
      </c>
      <c r="E26" s="10">
        <f>IFERROR(VLOOKUP(Table9[[#This Row],[Indeks]],drugaLaboratorijskaVezba[],14,FALSE),0)</f>
        <v>0</v>
      </c>
      <c r="F26" s="10">
        <f>IFERROR(VLOOKUP(Table9[[#This Row],[Indeks]],cetvrtaLaboratorijskaVezba[],14,FALSE),0)</f>
        <v>0</v>
      </c>
      <c r="G26" s="10">
        <f>IFERROR(VLOOKUP(Table9[[#This Row],[Indeks]],dz[],4,FALSE),0)</f>
        <v>95</v>
      </c>
      <c r="H26" s="10">
        <f>IFERROR(VLOOKUP(Table9[[#This Row],[Indeks]],dz[],5,FALSE),0)</f>
        <v>100</v>
      </c>
      <c r="I26" s="10">
        <f>(MAX(Table9[[#This Row],[L2]],Table9[[#This Row],[DZ1]])+MAX(Table9[[#This Row],[L4]],Table9[[#This Row],[DZ2]]))/2</f>
        <v>97.5</v>
      </c>
      <c r="J26" s="10">
        <f>(Table9[[#This Row],[DZ1]]+Table9[[#This Row],[DZ2]])/2</f>
        <v>97.5</v>
      </c>
      <c r="K26" s="10" cm="1">
        <f t="array" ref="K26">MAX((Table9[[#This Row],[K1]]+Table9[[#This Row],[K2]])/2,IFERROR(INDEX(ispit[Ukupno], MATCH(Table9[[#This Row],[Indeks]]&amp;"1",ispit[Indeks]&amp;ispit[Rok],0)),0)*10)</f>
        <v>51.183333333333337</v>
      </c>
      <c r="L26" s="10" cm="1">
        <f t="array" ref="L26">IF(MAX(ROW(ispit[Indeks]) * (Table9[[#This Row],[Indeks]]=ispit[Indeks]) * ($S$1&gt;=ispit[Rok])) &gt; 0,10 * INDEX(ispit[Ukupno],SUMPRODUCT(MAX(ROW(ispit[Indeks]) * (Table9[[#This Row],[Indeks]]=ispit[Indeks]) * ($S$1&gt;=ispit[Rok])) - 1)),0)</f>
        <v>48.3</v>
      </c>
      <c r="M26" s="10">
        <f>IF(AND(Table9[[#This Row],[L]]&gt;=40,Table9[[#This Row],[I]]&gt;=40),0.2*Table9[[#This Row],[L]]+0.3*Table9[[#This Row],[D]]+0.2*Table9[[#This Row],[K]]+0.3*Table9[[#This Row],[I]],0)</f>
        <v>73.476666666666659</v>
      </c>
      <c r="N26" s="12">
        <f>IF(OR(Table9[[#This Row],[DZ rok]]=$S$1,Table9[[#This Row],[I rok]]=$S$1),MEDIAN(5,10,FLOOR((Table9[[#This Row],[P]] + 9.99)/10,1)),3)</f>
        <v>8</v>
      </c>
      <c r="O26" s="12">
        <f>IFERROR(VLOOKUP(Table9[[#This Row],[Indeks]],dz[],3,FALSE),"")</f>
        <v>4</v>
      </c>
      <c r="P26" s="12" cm="1">
        <f t="array" ref="P26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26" s="2"/>
      <c r="R26" s="1"/>
    </row>
    <row r="27" spans="1:18" ht="15.6" x14ac:dyDescent="0.3">
      <c r="A27" s="10" t="s">
        <v>124</v>
      </c>
      <c r="B27" s="10" t="str">
        <f>VLOOKUP(Table9[[#This Row],[Indeks]],spisakStudenata[[Indeks]:[Prezime i ime (latinica)]],3,FALSE)</f>
        <v>Bojović Ana</v>
      </c>
      <c r="C27" s="10">
        <f>IFERROR(10 * VLOOKUP(Table9[[#This Row],[Indeks]],prviKolokvijum[[Indeks]:[K1]],13,FALSE),0)</f>
        <v>77.777777777777771</v>
      </c>
      <c r="D27" s="10">
        <f>IFERROR(VLOOKUP(Table9[[#This Row],[Indeks]],drugiKolokvijum[[Indeks]:[Ukupno]],13,FALSE),0)*10</f>
        <v>55</v>
      </c>
      <c r="E27" s="10">
        <f>IFERROR(VLOOKUP(Table9[[#This Row],[Indeks]],drugaLaboratorijskaVezba[],14,FALSE),0)</f>
        <v>0</v>
      </c>
      <c r="F27" s="10">
        <f>IFERROR(VLOOKUP(Table9[[#This Row],[Indeks]],cetvrtaLaboratorijskaVezba[],14,FALSE),0)</f>
        <v>0</v>
      </c>
      <c r="G27" s="10">
        <f>IFERROR(VLOOKUP(Table9[[#This Row],[Indeks]],dz[],4,FALSE),0)</f>
        <v>0</v>
      </c>
      <c r="H27" s="10">
        <f>IFERROR(VLOOKUP(Table9[[#This Row],[Indeks]],dz[],5,FALSE),0)</f>
        <v>0</v>
      </c>
      <c r="I27" s="10">
        <f>(MAX(Table9[[#This Row],[L2]],Table9[[#This Row],[DZ1]])+MAX(Table9[[#This Row],[L4]],Table9[[#This Row],[DZ2]]))/2</f>
        <v>0</v>
      </c>
      <c r="J27" s="10">
        <f>(Table9[[#This Row],[DZ1]]+Table9[[#This Row],[DZ2]])/2</f>
        <v>0</v>
      </c>
      <c r="K27" s="10" cm="1">
        <f t="array" ref="K27">MAX((Table9[[#This Row],[K1]]+Table9[[#This Row],[K2]])/2,IFERROR(INDEX(ispit[Ukupno], MATCH(Table9[[#This Row],[Indeks]]&amp;"1",ispit[Indeks]&amp;ispit[Rok],0)),0)*10)</f>
        <v>66.388888888888886</v>
      </c>
      <c r="L27" s="10" cm="1">
        <f t="array" ref="L27">IF(MAX(ROW(ispit[Indeks]) * (Table9[[#This Row],[Indeks]]=ispit[Indeks]) * ($S$1&gt;=ispit[Rok])) &gt; 0,10 * INDEX(ispit[Ukupno],SUMPRODUCT(MAX(ROW(ispit[Indeks]) * (Table9[[#This Row],[Indeks]]=ispit[Indeks]) * ($S$1&gt;=ispit[Rok])) - 1)),0)</f>
        <v>61.7</v>
      </c>
      <c r="M27" s="10">
        <f>IF(AND(Table9[[#This Row],[L]]&gt;=40,Table9[[#This Row],[I]]&gt;=40),0.2*Table9[[#This Row],[L]]+0.3*Table9[[#This Row],[D]]+0.2*Table9[[#This Row],[K]]+0.3*Table9[[#This Row],[I]],0)</f>
        <v>0</v>
      </c>
      <c r="N27" s="12">
        <f>IF(OR(Table9[[#This Row],[DZ rok]]=$S$1,Table9[[#This Row],[I rok]]=$S$1),MEDIAN(5,10,FLOOR((Table9[[#This Row],[P]] + 9.99)/10,1)),3)</f>
        <v>5</v>
      </c>
      <c r="O27" s="12" t="str">
        <f>IFERROR(VLOOKUP(Table9[[#This Row],[Indeks]],dz[],3,FALSE),"")</f>
        <v/>
      </c>
      <c r="P27" s="12" cm="1">
        <f t="array" ref="P27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27" s="2"/>
      <c r="R27" s="1"/>
    </row>
    <row r="28" spans="1:18" ht="15.6" x14ac:dyDescent="0.3">
      <c r="A28" s="10" t="s">
        <v>126</v>
      </c>
      <c r="B28" s="10" t="str">
        <f>VLOOKUP(Table9[[#This Row],[Indeks]],spisakStudenata[[Indeks]:[Prezime i ime (latinica)]],3,FALSE)</f>
        <v>Đurić Anja</v>
      </c>
      <c r="C28" s="10">
        <f>IFERROR(10 * VLOOKUP(Table9[[#This Row],[Indeks]],prviKolokvijum[[Indeks]:[K1]],13,FALSE),0)</f>
        <v>41.666666666666671</v>
      </c>
      <c r="D28" s="10">
        <f>IFERROR(VLOOKUP(Table9[[#This Row],[Indeks]],drugiKolokvijum[[Indeks]:[Ukupno]],13,FALSE),0)*10</f>
        <v>76.100000000000009</v>
      </c>
      <c r="E28" s="10">
        <f>IFERROR(VLOOKUP(Table9[[#This Row],[Indeks]],drugaLaboratorijskaVezba[],14,FALSE),0)</f>
        <v>0</v>
      </c>
      <c r="F28" s="10">
        <f>IFERROR(VLOOKUP(Table9[[#This Row],[Indeks]],cetvrtaLaboratorijskaVezba[],14,FALSE),0)</f>
        <v>0</v>
      </c>
      <c r="G28" s="10">
        <f>IFERROR(VLOOKUP(Table9[[#This Row],[Indeks]],dz[],4,FALSE),0)</f>
        <v>0</v>
      </c>
      <c r="H28" s="10">
        <f>IFERROR(VLOOKUP(Table9[[#This Row],[Indeks]],dz[],5,FALSE),0)</f>
        <v>0</v>
      </c>
      <c r="I28" s="10">
        <f>(MAX(Table9[[#This Row],[L2]],Table9[[#This Row],[DZ1]])+MAX(Table9[[#This Row],[L4]],Table9[[#This Row],[DZ2]]))/2</f>
        <v>0</v>
      </c>
      <c r="J28" s="10">
        <f>(Table9[[#This Row],[DZ1]]+Table9[[#This Row],[DZ2]])/2</f>
        <v>0</v>
      </c>
      <c r="K28" s="10" cm="1">
        <f t="array" ref="K28">MAX((Table9[[#This Row],[K1]]+Table9[[#This Row],[K2]])/2,IFERROR(INDEX(ispit[Ukupno], MATCH(Table9[[#This Row],[Indeks]]&amp;"1",ispit[Indeks]&amp;ispit[Rok],0)),0)*10)</f>
        <v>59.2</v>
      </c>
      <c r="L28" s="10" cm="1">
        <f t="array" ref="L28">IF(MAX(ROW(ispit[Indeks]) * (Table9[[#This Row],[Indeks]]=ispit[Indeks]) * ($S$1&gt;=ispit[Rok])) &gt; 0,10 * INDEX(ispit[Ukupno],SUMPRODUCT(MAX(ROW(ispit[Indeks]) * (Table9[[#This Row],[Indeks]]=ispit[Indeks]) * ($S$1&gt;=ispit[Rok])) - 1)),0)</f>
        <v>59.2</v>
      </c>
      <c r="M28" s="10">
        <f>IF(AND(Table9[[#This Row],[L]]&gt;=40,Table9[[#This Row],[I]]&gt;=40),0.2*Table9[[#This Row],[L]]+0.3*Table9[[#This Row],[D]]+0.2*Table9[[#This Row],[K]]+0.3*Table9[[#This Row],[I]],0)</f>
        <v>0</v>
      </c>
      <c r="N28" s="12">
        <f>IF(OR(Table9[[#This Row],[DZ rok]]=$S$1,Table9[[#This Row],[I rok]]=$S$1),MEDIAN(5,10,FLOOR((Table9[[#This Row],[P]] + 9.99)/10,1)),3)</f>
        <v>5</v>
      </c>
      <c r="O28" s="12" t="str">
        <f>IFERROR(VLOOKUP(Table9[[#This Row],[Indeks]],dz[],3,FALSE),"")</f>
        <v/>
      </c>
      <c r="P28" s="12" cm="1">
        <f t="array" ref="P28">IF(MAX(ROW(ispit[Indeks]) * (Table9[[#This Row],[Indeks]]=ispit[Indeks]) * ($S$1&gt;=ispit[Rok])) &gt; 0,INDEX(ispit[Rok],SUMPRODUCT(MAX(ROW(ispit[Indeks]) * (Table9[[#This Row],[Indeks]]=ispit[Indeks]) * ($S$1&gt;=ispit[Rok])) - 1)),0)</f>
        <v>1</v>
      </c>
      <c r="Q28" s="2"/>
      <c r="R28" s="1"/>
    </row>
    <row r="29" spans="1:18" ht="15.6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2"/>
      <c r="R29" s="1"/>
    </row>
    <row r="30" spans="1:18" ht="15.6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2"/>
      <c r="R30" s="1"/>
    </row>
    <row r="31" spans="1:18" ht="15.6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2"/>
      <c r="R31" s="1"/>
    </row>
    <row r="32" spans="1:18" ht="15.6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2"/>
      <c r="R32" s="1"/>
    </row>
    <row r="33" spans="1:18" ht="15.6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2"/>
      <c r="R33" s="1"/>
    </row>
    <row r="34" spans="1:18" ht="15.6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2"/>
      <c r="R34" s="1"/>
    </row>
    <row r="35" spans="1:18" ht="15.6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2"/>
      <c r="R35" s="1"/>
    </row>
    <row r="36" spans="1:18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1"/>
    </row>
    <row r="37" spans="1:18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1"/>
    </row>
    <row r="38" spans="1:18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1"/>
    </row>
    <row r="39" spans="1:18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1"/>
    </row>
    <row r="40" spans="1:18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63" fitToWidth="0" orientation="landscape" r:id="rId1"/>
  <headerFooter>
    <oddHeader>&amp;CRačunarska grafika
Junski ispitni rok</oddHeader>
  </headerFooter>
  <colBreaks count="1" manualBreakCount="1">
    <brk id="14" max="1048575" man="1"/>
  </colBreaks>
  <drawing r:id="rId2"/>
  <tableParts count="2">
    <tablePart r:id="rId3"/>
    <tablePart r:id="rId4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8195E-ACC0-4425-80F0-00E7FCE61D5D}">
  <sheetPr>
    <pageSetUpPr fitToPage="1"/>
  </sheetPr>
  <dimension ref="A1:S40"/>
  <sheetViews>
    <sheetView zoomScaleNormal="100" zoomScalePageLayoutView="85" workbookViewId="0">
      <selection activeCell="M22" sqref="M22"/>
    </sheetView>
  </sheetViews>
  <sheetFormatPr defaultRowHeight="14.4" x14ac:dyDescent="0.3"/>
  <cols>
    <col min="1" max="1" width="11.5546875" bestFit="1" customWidth="1"/>
    <col min="2" max="2" width="21.77734375" bestFit="1" customWidth="1"/>
    <col min="3" max="4" width="7.88671875" bestFit="1" customWidth="1"/>
    <col min="5" max="5" width="8.21875" bestFit="1" customWidth="1"/>
    <col min="6" max="6" width="7.5546875" bestFit="1" customWidth="1"/>
    <col min="7" max="8" width="9.21875" bestFit="1" customWidth="1"/>
    <col min="9" max="10" width="8.21875" bestFit="1" customWidth="1"/>
    <col min="11" max="11" width="13.44140625" bestFit="1" customWidth="1"/>
    <col min="12" max="13" width="7.109375" bestFit="1" customWidth="1"/>
    <col min="14" max="14" width="11.44140625" bestFit="1" customWidth="1"/>
    <col min="15" max="15" width="11.77734375" bestFit="1" customWidth="1"/>
    <col min="16" max="16" width="9.77734375" bestFit="1" customWidth="1"/>
    <col min="18" max="18" width="10.77734375" bestFit="1" customWidth="1"/>
  </cols>
  <sheetData>
    <row r="1" spans="1:19" ht="15.6" x14ac:dyDescent="0.3">
      <c r="A1" s="2" t="s">
        <v>0</v>
      </c>
      <c r="B1" s="2" t="s">
        <v>1</v>
      </c>
      <c r="C1" s="2" t="s">
        <v>31</v>
      </c>
      <c r="D1" s="2" t="s">
        <v>32</v>
      </c>
      <c r="E1" s="2" t="s">
        <v>33</v>
      </c>
      <c r="F1" s="2" t="s">
        <v>34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27</v>
      </c>
      <c r="O1" s="2" t="s">
        <v>46</v>
      </c>
      <c r="P1" s="2" t="s">
        <v>45</v>
      </c>
      <c r="Q1" s="2"/>
      <c r="R1" s="8" t="s">
        <v>44</v>
      </c>
      <c r="S1" s="8">
        <v>2</v>
      </c>
    </row>
    <row r="2" spans="1:19" ht="15.6" x14ac:dyDescent="0.3">
      <c r="A2" s="10" t="s">
        <v>70</v>
      </c>
      <c r="B2" s="10" t="str">
        <f>VLOOKUP(Table917[[#This Row],[Indeks]],spisakStudenata[[Indeks]:[Prezime i ime (latinica)]],3,FALSE)</f>
        <v>Janevski Ivan</v>
      </c>
      <c r="C2" s="10">
        <f>IFERROR(10 * VLOOKUP(Table917[[#This Row],[Indeks]],prviKolokvijum[[Indeks]:[K1]],13,FALSE),0)</f>
        <v>41.666666666666671</v>
      </c>
      <c r="D2" s="10">
        <f>IFERROR(VLOOKUP(Table917[[#This Row],[Indeks]],drugiKolokvijum[[Indeks]:[Ukupno]],13,FALSE),0)*10</f>
        <v>29.700000000000003</v>
      </c>
      <c r="E2" s="10">
        <f>IFERROR(VLOOKUP(Table917[[#This Row],[Indeks]],drugaLaboratorijskaVezba[],14,FALSE),0)</f>
        <v>0</v>
      </c>
      <c r="F2" s="10">
        <f>IFERROR(VLOOKUP(Table917[[#This Row],[Indeks]],cetvrtaLaboratorijskaVezba[],14,FALSE),0)</f>
        <v>0</v>
      </c>
      <c r="G2" s="10">
        <f>IFERROR(VLOOKUP(Table917[[#This Row],[Indeks]],dz[],4,FALSE),0)</f>
        <v>0</v>
      </c>
      <c r="H2" s="10">
        <f>IFERROR(VLOOKUP(Table917[[#This Row],[Indeks]],dz[],5,FALSE),0)</f>
        <v>0</v>
      </c>
      <c r="I2" s="10">
        <f>(MAX(Table917[[#This Row],[L2]],Table917[[#This Row],[DZ1]])+MAX(Table917[[#This Row],[L4]],Table917[[#This Row],[DZ2]]))/2</f>
        <v>0</v>
      </c>
      <c r="J2" s="10">
        <f>(Table917[[#This Row],[DZ1]]+Table917[[#This Row],[DZ2]])/2</f>
        <v>0</v>
      </c>
      <c r="K2" s="10" cm="1">
        <f t="array" ref="K2">MAX((Table917[[#This Row],[K1]]+Table917[[#This Row],[K2]])/2,IFERROR(INDEX(ispit[Ukupno], MATCH(Table917[[#This Row],[Indeks]]&amp;"1",ispit[Indeks]&amp;ispit[Rok],0)),0)*10)</f>
        <v>49</v>
      </c>
      <c r="L2" s="10" cm="1">
        <f t="array" ref="L2">IF(MAX(ROW(ispit[Indeks]) * (Table917[[#This Row],[Indeks]]=ispit[Indeks]) * ($S$1&gt;=ispit[Rok])) &gt; 0,10 * INDEX(ispit[Ukupno],SUMPRODUCT(MAX(ROW(ispit[Indeks]) * (Table917[[#This Row],[Indeks]]=ispit[Indeks]) * ($S$1&gt;=ispit[Rok])) - 1)),0)</f>
        <v>39.4</v>
      </c>
      <c r="M2" s="10">
        <f>IF(AND(Table917[[#This Row],[L]]&gt;=40,Table917[[#This Row],[I]]&gt;=40),0.2*Table917[[#This Row],[L]]+0.3*Table917[[#This Row],[D]]+0.2*Table917[[#This Row],[K]]+0.3*Table917[[#This Row],[I]],0)</f>
        <v>0</v>
      </c>
      <c r="N2" s="12">
        <f>IF(OR(Table917[[#This Row],[DZ rok]]=$S$1,Table917[[#This Row],[I rok]]=$S$1),MEDIAN(5,10,FLOOR((Table917[[#This Row],[P]] + 9.99)/10,1)),3)</f>
        <v>5</v>
      </c>
      <c r="O2" s="12" t="str">
        <f>IFERROR(VLOOKUP(Table917[[#This Row],[Indeks]],dz[],3,FALSE),"")</f>
        <v/>
      </c>
      <c r="P2" s="12" cm="1">
        <f t="array" ref="P2">IF(MAX(ROW(ispit[Indeks]) * (Table917[[#This Row],[Indeks]]=ispit[Indeks]) * ($S$1&gt;=ispit[Rok])) &gt; 0,INDEX(ispit[Rok],SUMPRODUCT(MAX(ROW(ispit[Indeks]) * (Table917[[#This Row],[Indeks]]=ispit[Indeks]) * ($S$1&gt;=ispit[Rok])) - 1)),0)</f>
        <v>2</v>
      </c>
      <c r="Q2" s="2"/>
    </row>
    <row r="3" spans="1:19" ht="15.6" x14ac:dyDescent="0.3">
      <c r="A3" s="10" t="s">
        <v>92</v>
      </c>
      <c r="B3" s="10" t="str">
        <f>VLOOKUP(Table917[[#This Row],[Indeks]],spisakStudenata[[Indeks]:[Prezime i ime (latinica)]],3,FALSE)</f>
        <v>Adamović Aleksa</v>
      </c>
      <c r="C3" s="10">
        <f>IFERROR(10 * VLOOKUP(Table917[[#This Row],[Indeks]],prviKolokvijum[[Indeks]:[K1]],13,FALSE),0)</f>
        <v>66.666666666666671</v>
      </c>
      <c r="D3" s="10">
        <f>IFERROR(VLOOKUP(Table917[[#This Row],[Indeks]],drugiKolokvijum[[Indeks]:[Ukupno]],13,FALSE),0)*10</f>
        <v>21.099999999999998</v>
      </c>
      <c r="E3" s="10">
        <f>IFERROR(VLOOKUP(Table917[[#This Row],[Indeks]],drugaLaboratorijskaVezba[],14,FALSE),0)</f>
        <v>0</v>
      </c>
      <c r="F3" s="10">
        <f>IFERROR(VLOOKUP(Table917[[#This Row],[Indeks]],cetvrtaLaboratorijskaVezba[],14,FALSE),0)</f>
        <v>0</v>
      </c>
      <c r="G3" s="10">
        <f>IFERROR(VLOOKUP(Table917[[#This Row],[Indeks]],dz[],4,FALSE),0)</f>
        <v>0</v>
      </c>
      <c r="H3" s="10">
        <f>IFERROR(VLOOKUP(Table917[[#This Row],[Indeks]],dz[],5,FALSE),0)</f>
        <v>0</v>
      </c>
      <c r="I3" s="10">
        <f>(MAX(Table917[[#This Row],[L2]],Table917[[#This Row],[DZ1]])+MAX(Table917[[#This Row],[L4]],Table917[[#This Row],[DZ2]]))/2</f>
        <v>0</v>
      </c>
      <c r="J3" s="10">
        <f>(Table917[[#This Row],[DZ1]]+Table917[[#This Row],[DZ2]])/2</f>
        <v>0</v>
      </c>
      <c r="K3" s="10" cm="1">
        <f t="array" ref="K3">MAX((Table917[[#This Row],[K1]]+Table917[[#This Row],[K2]])/2,IFERROR(INDEX(ispit[Ukupno], MATCH(Table917[[#This Row],[Indeks]]&amp;"1",ispit[Indeks]&amp;ispit[Rok],0)),0)*10)</f>
        <v>43.883333333333333</v>
      </c>
      <c r="L3" s="10" cm="1">
        <f t="array" ref="L3">IF(MAX(ROW(ispit[Indeks]) * (Table917[[#This Row],[Indeks]]=ispit[Indeks]) * ($S$1&gt;=ispit[Rok])) &gt; 0,10 * INDEX(ispit[Ukupno],SUMPRODUCT(MAX(ROW(ispit[Indeks]) * (Table917[[#This Row],[Indeks]]=ispit[Indeks]) * ($S$1&gt;=ispit[Rok])) - 1)),0)</f>
        <v>0</v>
      </c>
      <c r="M3" s="10">
        <f>IF(AND(Table917[[#This Row],[L]]&gt;=40,Table917[[#This Row],[I]]&gt;=40),0.2*Table917[[#This Row],[L]]+0.3*Table917[[#This Row],[D]]+0.2*Table917[[#This Row],[K]]+0.3*Table917[[#This Row],[I]],0)</f>
        <v>0</v>
      </c>
      <c r="N3" s="12">
        <f>IF(OR(Table917[[#This Row],[DZ rok]]=$S$1,Table917[[#This Row],[I rok]]=$S$1),MEDIAN(5,10,FLOOR((Table917[[#This Row],[P]] + 9.99)/10,1)),3)</f>
        <v>3</v>
      </c>
      <c r="O3" s="12" t="str">
        <f>IFERROR(VLOOKUP(Table917[[#This Row],[Indeks]],dz[],3,FALSE),"")</f>
        <v/>
      </c>
      <c r="P3" s="12" cm="1">
        <f t="array" ref="P3">IF(MAX(ROW(ispit[Indeks]) * (Table917[[#This Row],[Indeks]]=ispit[Indeks]) * ($S$1&gt;=ispit[Rok])) &gt; 0,INDEX(ispit[Rok],SUMPRODUCT(MAX(ROW(ispit[Indeks]) * (Table917[[#This Row],[Indeks]]=ispit[Indeks]) * ($S$1&gt;=ispit[Rok])) - 1)),0)</f>
        <v>0</v>
      </c>
      <c r="Q3" s="2"/>
    </row>
    <row r="4" spans="1:19" ht="15.6" x14ac:dyDescent="0.3">
      <c r="A4" s="10" t="s">
        <v>7</v>
      </c>
      <c r="B4" s="10" t="str">
        <f>VLOOKUP(Table917[[#This Row],[Indeks]],spisakStudenata[[Indeks]:[Prezime i ime (latinica)]],3,FALSE)</f>
        <v>Miletić Marija</v>
      </c>
      <c r="C4" s="10">
        <f>IFERROR(10 * VLOOKUP(Table917[[#This Row],[Indeks]],prviKolokvijum[[Indeks]:[K1]],13,FALSE),0)</f>
        <v>55.555555555555557</v>
      </c>
      <c r="D4" s="10">
        <f>IFERROR(VLOOKUP(Table917[[#This Row],[Indeks]],drugiKolokvijum[[Indeks]:[Ukupno]],13,FALSE),0)*10</f>
        <v>0</v>
      </c>
      <c r="E4" s="10">
        <f>IFERROR(VLOOKUP(Table917[[#This Row],[Indeks]],drugaLaboratorijskaVezba[],14,FALSE),0)</f>
        <v>0</v>
      </c>
      <c r="F4" s="10">
        <f>IFERROR(VLOOKUP(Table917[[#This Row],[Indeks]],cetvrtaLaboratorijskaVezba[],14,FALSE),0)</f>
        <v>0</v>
      </c>
      <c r="G4" s="10">
        <f>IFERROR(VLOOKUP(Table917[[#This Row],[Indeks]],dz[],4,FALSE),0)</f>
        <v>0</v>
      </c>
      <c r="H4" s="10">
        <f>IFERROR(VLOOKUP(Table917[[#This Row],[Indeks]],dz[],5,FALSE),0)</f>
        <v>0</v>
      </c>
      <c r="I4" s="10">
        <f>(MAX(Table917[[#This Row],[L2]],Table917[[#This Row],[DZ1]])+MAX(Table917[[#This Row],[L4]],Table917[[#This Row],[DZ2]]))/2</f>
        <v>0</v>
      </c>
      <c r="J4" s="10">
        <f>(Table917[[#This Row],[DZ1]]+Table917[[#This Row],[DZ2]])/2</f>
        <v>0</v>
      </c>
      <c r="K4" s="10" cm="1">
        <f t="array" ref="K4">MAX((Table917[[#This Row],[K1]]+Table917[[#This Row],[K2]])/2,IFERROR(INDEX(ispit[Ukupno], MATCH(Table917[[#This Row],[Indeks]]&amp;"1",ispit[Indeks]&amp;ispit[Rok],0)),0)*10)</f>
        <v>27.777777777777779</v>
      </c>
      <c r="L4" s="10" cm="1">
        <f t="array" ref="L4">IF(MAX(ROW(ispit[Indeks]) * (Table917[[#This Row],[Indeks]]=ispit[Indeks]) * ($S$1&gt;=ispit[Rok])) &gt; 0,10 * INDEX(ispit[Ukupno],SUMPRODUCT(MAX(ROW(ispit[Indeks]) * (Table917[[#This Row],[Indeks]]=ispit[Indeks]) * ($S$1&gt;=ispit[Rok])) - 1)),0)</f>
        <v>0</v>
      </c>
      <c r="M4" s="10">
        <f>IF(AND(Table917[[#This Row],[L]]&gt;=40,Table917[[#This Row],[I]]&gt;=40),0.2*Table917[[#This Row],[L]]+0.3*Table917[[#This Row],[D]]+0.2*Table917[[#This Row],[K]]+0.3*Table917[[#This Row],[I]],0)</f>
        <v>0</v>
      </c>
      <c r="N4" s="12">
        <f>IF(OR(Table917[[#This Row],[DZ rok]]=$S$1,Table917[[#This Row],[I rok]]=$S$1),MEDIAN(5,10,FLOOR((Table917[[#This Row],[P]] + 9.99)/10,1)),3)</f>
        <v>3</v>
      </c>
      <c r="O4" s="12" t="str">
        <f>IFERROR(VLOOKUP(Table917[[#This Row],[Indeks]],dz[],3,FALSE),"")</f>
        <v/>
      </c>
      <c r="P4" s="12" cm="1">
        <f t="array" ref="P4">IF(MAX(ROW(ispit[Indeks]) * (Table917[[#This Row],[Indeks]]=ispit[Indeks]) * ($S$1&gt;=ispit[Rok])) &gt; 0,INDEX(ispit[Rok],SUMPRODUCT(MAX(ROW(ispit[Indeks]) * (Table917[[#This Row],[Indeks]]=ispit[Indeks]) * ($S$1&gt;=ispit[Rok])) - 1)),0)</f>
        <v>0</v>
      </c>
      <c r="Q4" s="2"/>
    </row>
    <row r="5" spans="1:19" ht="15.6" x14ac:dyDescent="0.3">
      <c r="A5" s="10" t="s">
        <v>66</v>
      </c>
      <c r="B5" s="10" t="str">
        <f>VLOOKUP(Table917[[#This Row],[Indeks]],spisakStudenata[[Indeks]:[Prezime i ime (latinica)]],3,FALSE)</f>
        <v>Milošević Isidora</v>
      </c>
      <c r="C5" s="10">
        <f>IFERROR(10 * VLOOKUP(Table917[[#This Row],[Indeks]],prviKolokvijum[[Indeks]:[K1]],13,FALSE),0)</f>
        <v>50.888888888888886</v>
      </c>
      <c r="D5" s="10">
        <f>IFERROR(VLOOKUP(Table917[[#This Row],[Indeks]],drugiKolokvijum[[Indeks]:[Ukupno]],13,FALSE),0)*10</f>
        <v>0</v>
      </c>
      <c r="E5" s="10">
        <f>IFERROR(VLOOKUP(Table917[[#This Row],[Indeks]],drugaLaboratorijskaVezba[],14,FALSE),0)</f>
        <v>0</v>
      </c>
      <c r="F5" s="10">
        <f>IFERROR(VLOOKUP(Table917[[#This Row],[Indeks]],cetvrtaLaboratorijskaVezba[],14,FALSE),0)</f>
        <v>0</v>
      </c>
      <c r="G5" s="10">
        <f>IFERROR(VLOOKUP(Table917[[#This Row],[Indeks]],dz[],4,FALSE),0)</f>
        <v>60</v>
      </c>
      <c r="H5" s="10">
        <f>IFERROR(VLOOKUP(Table917[[#This Row],[Indeks]],dz[],5,FALSE),0)</f>
        <v>60</v>
      </c>
      <c r="I5" s="10">
        <f>(MAX(Table917[[#This Row],[L2]],Table917[[#This Row],[DZ1]])+MAX(Table917[[#This Row],[L4]],Table917[[#This Row],[DZ2]]))/2</f>
        <v>60</v>
      </c>
      <c r="J5" s="10">
        <f>(Table917[[#This Row],[DZ1]]+Table917[[#This Row],[DZ2]])/2</f>
        <v>60</v>
      </c>
      <c r="K5" s="10" cm="1">
        <f t="array" ref="K5">MAX((Table917[[#This Row],[K1]]+Table917[[#This Row],[K2]])/2,IFERROR(INDEX(ispit[Ukupno], MATCH(Table917[[#This Row],[Indeks]]&amp;"1",ispit[Indeks]&amp;ispit[Rok],0)),0)*10)</f>
        <v>50</v>
      </c>
      <c r="L5" s="10" cm="1">
        <f t="array" ref="L5">IF(MAX(ROW(ispit[Indeks]) * (Table917[[#This Row],[Indeks]]=ispit[Indeks]) * ($S$1&gt;=ispit[Rok])) &gt; 0,10 * INDEX(ispit[Ukupno],SUMPRODUCT(MAX(ROW(ispit[Indeks]) * (Table917[[#This Row],[Indeks]]=ispit[Indeks]) * ($S$1&gt;=ispit[Rok])) - 1)),0)</f>
        <v>50</v>
      </c>
      <c r="M5" s="10">
        <f>IF(AND(Table917[[#This Row],[L]]&gt;=40,Table917[[#This Row],[I]]&gt;=40),0.2*Table917[[#This Row],[L]]+0.3*Table917[[#This Row],[D]]+0.2*Table917[[#This Row],[K]]+0.3*Table917[[#This Row],[I]],0)</f>
        <v>55</v>
      </c>
      <c r="N5" s="12">
        <f>IF(OR(Table917[[#This Row],[DZ rok]]=$S$1,Table917[[#This Row],[I rok]]=$S$1),MEDIAN(5,10,FLOOR((Table917[[#This Row],[P]] + 9.99)/10,1)),3)</f>
        <v>6</v>
      </c>
      <c r="O5" s="12">
        <f>IFERROR(VLOOKUP(Table917[[#This Row],[Indeks]],dz[],3,FALSE),"")</f>
        <v>2</v>
      </c>
      <c r="P5" s="12" cm="1">
        <f t="array" ref="P5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5" s="2"/>
      <c r="R5" s="1" t="s">
        <v>27</v>
      </c>
      <c r="S5" s="1" t="s">
        <v>26</v>
      </c>
    </row>
    <row r="6" spans="1:19" ht="15.6" x14ac:dyDescent="0.3">
      <c r="A6" s="10" t="s">
        <v>68</v>
      </c>
      <c r="B6" s="10" t="str">
        <f>VLOOKUP(Table917[[#This Row],[Indeks]],spisakStudenata[[Indeks]:[Prezime i ime (latinica)]],3,FALSE)</f>
        <v>Marjanović Ivana</v>
      </c>
      <c r="C6" s="10">
        <f>IFERROR(10 * VLOOKUP(Table917[[#This Row],[Indeks]],prviKolokvijum[[Indeks]:[K1]],13,FALSE),0)</f>
        <v>0</v>
      </c>
      <c r="D6" s="10">
        <f>IFERROR(VLOOKUP(Table917[[#This Row],[Indeks]],drugiKolokvijum[[Indeks]:[Ukupno]],13,FALSE),0)*10</f>
        <v>0</v>
      </c>
      <c r="E6" s="10">
        <f>IFERROR(VLOOKUP(Table917[[#This Row],[Indeks]],drugaLaboratorijskaVezba[],14,FALSE),0)</f>
        <v>0</v>
      </c>
      <c r="F6" s="10">
        <f>IFERROR(VLOOKUP(Table917[[#This Row],[Indeks]],cetvrtaLaboratorijskaVezba[],14,FALSE),0)</f>
        <v>0</v>
      </c>
      <c r="G6" s="10">
        <f>IFERROR(VLOOKUP(Table917[[#This Row],[Indeks]],dz[],4,FALSE),0)</f>
        <v>0</v>
      </c>
      <c r="H6" s="10">
        <f>IFERROR(VLOOKUP(Table917[[#This Row],[Indeks]],dz[],5,FALSE),0)</f>
        <v>0</v>
      </c>
      <c r="I6" s="10">
        <f>(MAX(Table917[[#This Row],[L2]],Table917[[#This Row],[DZ1]])+MAX(Table917[[#This Row],[L4]],Table917[[#This Row],[DZ2]]))/2</f>
        <v>0</v>
      </c>
      <c r="J6" s="10">
        <f>(Table917[[#This Row],[DZ1]]+Table917[[#This Row],[DZ2]])/2</f>
        <v>0</v>
      </c>
      <c r="K6" s="10" cm="1">
        <f t="array" ref="K6">MAX((Table917[[#This Row],[K1]]+Table917[[#This Row],[K2]])/2,IFERROR(INDEX(ispit[Ukupno], MATCH(Table917[[#This Row],[Indeks]]&amp;"1",ispit[Indeks]&amp;ispit[Rok],0)),0)*10)</f>
        <v>29.5</v>
      </c>
      <c r="L6" s="10" cm="1">
        <f t="array" ref="L6">IF(MAX(ROW(ispit[Indeks]) * (Table917[[#This Row],[Indeks]]=ispit[Indeks]) * ($S$1&gt;=ispit[Rok])) &gt; 0,10 * INDEX(ispit[Ukupno],SUMPRODUCT(MAX(ROW(ispit[Indeks]) * (Table917[[#This Row],[Indeks]]=ispit[Indeks]) * ($S$1&gt;=ispit[Rok])) - 1)),0)</f>
        <v>17.7</v>
      </c>
      <c r="M6" s="10">
        <f>IF(AND(Table917[[#This Row],[L]]&gt;=40,Table917[[#This Row],[I]]&gt;=40),0.2*Table917[[#This Row],[L]]+0.3*Table917[[#This Row],[D]]+0.2*Table917[[#This Row],[K]]+0.3*Table917[[#This Row],[I]],0)</f>
        <v>0</v>
      </c>
      <c r="N6" s="12">
        <f>IF(OR(Table917[[#This Row],[DZ rok]]=$S$1,Table917[[#This Row],[I rok]]=$S$1),MEDIAN(5,10,FLOOR((Table917[[#This Row],[P]] + 9.99)/10,1)),3)</f>
        <v>5</v>
      </c>
      <c r="O6" s="12" t="str">
        <f>IFERROR(VLOOKUP(Table917[[#This Row],[Indeks]],dz[],3,FALSE),"")</f>
        <v/>
      </c>
      <c r="P6" s="12" cm="1">
        <f t="array" ref="P6">IF(MAX(ROW(ispit[Indeks]) * (Table917[[#This Row],[Indeks]]=ispit[Indeks]) * ($S$1&gt;=ispit[Rok])) &gt; 0,INDEX(ispit[Rok],SUMPRODUCT(MAX(ROW(ispit[Indeks]) * (Table917[[#This Row],[Indeks]]=ispit[Indeks]) * ($S$1&gt;=ispit[Rok])) - 1)),0)</f>
        <v>2</v>
      </c>
      <c r="Q6" s="2"/>
      <c r="R6" s="1">
        <v>5</v>
      </c>
      <c r="S6" s="1">
        <f>COUNTIF(Table917[Ocena],Table1118[[#This Row],[Ocena]])</f>
        <v>3</v>
      </c>
    </row>
    <row r="7" spans="1:19" ht="15.6" x14ac:dyDescent="0.3">
      <c r="A7" s="10" t="s">
        <v>106</v>
      </c>
      <c r="B7" s="10" t="str">
        <f>VLOOKUP(Table917[[#This Row],[Indeks]],spisakStudenata[[Indeks]:[Prezime i ime (latinica)]],3,FALSE)</f>
        <v>Jovanović Maja</v>
      </c>
      <c r="C7" s="10">
        <f>IFERROR(10 * VLOOKUP(Table917[[#This Row],[Indeks]],prviKolokvijum[[Indeks]:[K1]],13,FALSE),0)</f>
        <v>0</v>
      </c>
      <c r="D7" s="10">
        <f>IFERROR(VLOOKUP(Table917[[#This Row],[Indeks]],drugiKolokvijum[[Indeks]:[Ukupno]],13,FALSE),0)*10</f>
        <v>0</v>
      </c>
      <c r="E7" s="10">
        <f>IFERROR(VLOOKUP(Table917[[#This Row],[Indeks]],drugaLaboratorijskaVezba[],14,FALSE),0)</f>
        <v>0</v>
      </c>
      <c r="F7" s="10">
        <f>IFERROR(VLOOKUP(Table917[[#This Row],[Indeks]],cetvrtaLaboratorijskaVezba[],14,FALSE),0)</f>
        <v>0</v>
      </c>
      <c r="G7" s="10">
        <f>IFERROR(VLOOKUP(Table917[[#This Row],[Indeks]],dz[],4,FALSE),0)</f>
        <v>0</v>
      </c>
      <c r="H7" s="10">
        <f>IFERROR(VLOOKUP(Table917[[#This Row],[Indeks]],dz[],5,FALSE),0)</f>
        <v>0</v>
      </c>
      <c r="I7" s="10">
        <f>(MAX(Table917[[#This Row],[L2]],Table917[[#This Row],[DZ1]])+MAX(Table917[[#This Row],[L4]],Table917[[#This Row],[DZ2]]))/2</f>
        <v>0</v>
      </c>
      <c r="J7" s="10">
        <f>(Table917[[#This Row],[DZ1]]+Table917[[#This Row],[DZ2]])/2</f>
        <v>0</v>
      </c>
      <c r="K7" s="10" cm="1">
        <f t="array" ref="K7">MAX((Table917[[#This Row],[K1]]+Table917[[#This Row],[K2]])/2,IFERROR(INDEX(ispit[Ukupno], MATCH(Table917[[#This Row],[Indeks]]&amp;"1",ispit[Indeks]&amp;ispit[Rok],0)),0)*10)</f>
        <v>57.5</v>
      </c>
      <c r="L7" s="10" cm="1">
        <f t="array" ref="L7">IF(MAX(ROW(ispit[Indeks]) * (Table917[[#This Row],[Indeks]]=ispit[Indeks]) * ($S$1&gt;=ispit[Rok])) &gt; 0,10 * INDEX(ispit[Ukupno],SUMPRODUCT(MAX(ROW(ispit[Indeks]) * (Table917[[#This Row],[Indeks]]=ispit[Indeks]) * ($S$1&gt;=ispit[Rok])) - 1)),0)</f>
        <v>57.5</v>
      </c>
      <c r="M7" s="10">
        <f>IF(AND(Table917[[#This Row],[L]]&gt;=40,Table917[[#This Row],[I]]&gt;=40),0.2*Table917[[#This Row],[L]]+0.3*Table917[[#This Row],[D]]+0.2*Table917[[#This Row],[K]]+0.3*Table917[[#This Row],[I]],0)</f>
        <v>0</v>
      </c>
      <c r="N7" s="12">
        <f>IF(OR(Table917[[#This Row],[DZ rok]]=$S$1,Table917[[#This Row],[I rok]]=$S$1),MEDIAN(5,10,FLOOR((Table917[[#This Row],[P]] + 9.99)/10,1)),3)</f>
        <v>3</v>
      </c>
      <c r="O7" s="12" t="str">
        <f>IFERROR(VLOOKUP(Table917[[#This Row],[Indeks]],dz[],3,FALSE),"")</f>
        <v/>
      </c>
      <c r="P7" s="12" cm="1">
        <f t="array" ref="P7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7" s="2"/>
      <c r="R7" s="1">
        <v>6</v>
      </c>
      <c r="S7" s="1">
        <f>COUNTIF(Table917[Ocena],Table1118[[#This Row],[Ocena]])</f>
        <v>1</v>
      </c>
    </row>
    <row r="8" spans="1:19" ht="15.6" x14ac:dyDescent="0.3">
      <c r="A8" s="10" t="s">
        <v>94</v>
      </c>
      <c r="B8" s="10" t="str">
        <f>VLOOKUP(Table917[[#This Row],[Indeks]],spisakStudenata[[Indeks]:[Prezime i ime (latinica)]],3,FALSE)</f>
        <v>Stojiljković Aleksa</v>
      </c>
      <c r="C8" s="10">
        <f>IFERROR(10 * VLOOKUP(Table917[[#This Row],[Indeks]],prviKolokvijum[[Indeks]:[K1]],13,FALSE),0)</f>
        <v>93.555555555555557</v>
      </c>
      <c r="D8" s="10">
        <f>IFERROR(VLOOKUP(Table917[[#This Row],[Indeks]],drugiKolokvijum[[Indeks]:[Ukupno]],13,FALSE),0)*10</f>
        <v>0</v>
      </c>
      <c r="E8" s="10">
        <f>IFERROR(VLOOKUP(Table917[[#This Row],[Indeks]],drugaLaboratorijskaVezba[],14,FALSE),0)</f>
        <v>0</v>
      </c>
      <c r="F8" s="10">
        <f>IFERROR(VLOOKUP(Table917[[#This Row],[Indeks]],cetvrtaLaboratorijskaVezba[],14,FALSE),0)</f>
        <v>0</v>
      </c>
      <c r="G8" s="10">
        <f>IFERROR(VLOOKUP(Table917[[#This Row],[Indeks]],dz[],4,FALSE),0)</f>
        <v>100</v>
      </c>
      <c r="H8" s="10">
        <f>IFERROR(VLOOKUP(Table917[[#This Row],[Indeks]],dz[],5,FALSE),0)</f>
        <v>100</v>
      </c>
      <c r="I8" s="10">
        <f>(MAX(Table917[[#This Row],[L2]],Table917[[#This Row],[DZ1]])+MAX(Table917[[#This Row],[L4]],Table917[[#This Row],[DZ2]]))/2</f>
        <v>100</v>
      </c>
      <c r="J8" s="10">
        <f>(Table917[[#This Row],[DZ1]]+Table917[[#This Row],[DZ2]])/2</f>
        <v>100</v>
      </c>
      <c r="K8" s="10" cm="1">
        <f t="array" ref="K8">MAX((Table917[[#This Row],[K1]]+Table917[[#This Row],[K2]])/2,IFERROR(INDEX(ispit[Ukupno], MATCH(Table917[[#This Row],[Indeks]]&amp;"1",ispit[Indeks]&amp;ispit[Rok],0)),0)*10)</f>
        <v>72.5</v>
      </c>
      <c r="L8" s="10" cm="1">
        <f t="array" ref="L8">IF(MAX(ROW(ispit[Indeks]) * (Table917[[#This Row],[Indeks]]=ispit[Indeks]) * ($S$1&gt;=ispit[Rok])) &gt; 0,10 * INDEX(ispit[Ukupno],SUMPRODUCT(MAX(ROW(ispit[Indeks]) * (Table917[[#This Row],[Indeks]]=ispit[Indeks]) * ($S$1&gt;=ispit[Rok])) - 1)),0)</f>
        <v>72.5</v>
      </c>
      <c r="M8" s="10">
        <f>IF(AND(Table917[[#This Row],[L]]&gt;=40,Table917[[#This Row],[I]]&gt;=40),0.2*Table917[[#This Row],[L]]+0.3*Table917[[#This Row],[D]]+0.2*Table917[[#This Row],[K]]+0.3*Table917[[#This Row],[I]],0)</f>
        <v>86.25</v>
      </c>
      <c r="N8" s="12">
        <f>IF(OR(Table917[[#This Row],[DZ rok]]=$S$1,Table917[[#This Row],[I rok]]=$S$1),MEDIAN(5,10,FLOOR((Table917[[#This Row],[P]] + 9.99)/10,1)),3)</f>
        <v>3</v>
      </c>
      <c r="O8" s="12">
        <f>IFERROR(VLOOKUP(Table917[[#This Row],[Indeks]],dz[],3,FALSE),"")</f>
        <v>1</v>
      </c>
      <c r="P8" s="12" cm="1">
        <f t="array" ref="P8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8" s="2"/>
      <c r="R8" s="1">
        <v>7</v>
      </c>
      <c r="S8" s="1">
        <f>COUNTIF(Table917[Ocena],Table1118[[#This Row],[Ocena]])</f>
        <v>0</v>
      </c>
    </row>
    <row r="9" spans="1:19" ht="15.6" x14ac:dyDescent="0.3">
      <c r="A9" s="10" t="s">
        <v>108</v>
      </c>
      <c r="B9" s="10" t="str">
        <f>VLOOKUP(Table917[[#This Row],[Indeks]],spisakStudenata[[Indeks]:[Prezime i ime (latinica)]],3,FALSE)</f>
        <v>Stefanović Marija</v>
      </c>
      <c r="C9" s="10">
        <f>IFERROR(10 * VLOOKUP(Table917[[#This Row],[Indeks]],prviKolokvijum[[Indeks]:[K1]],13,FALSE),0)</f>
        <v>61.111111111111107</v>
      </c>
      <c r="D9" s="10">
        <f>IFERROR(VLOOKUP(Table917[[#This Row],[Indeks]],drugiKolokvijum[[Indeks]:[Ukupno]],13,FALSE),0)*10</f>
        <v>32.5</v>
      </c>
      <c r="E9" s="10">
        <f>IFERROR(VLOOKUP(Table917[[#This Row],[Indeks]],drugaLaboratorijskaVezba[],14,FALSE),0)</f>
        <v>0</v>
      </c>
      <c r="F9" s="10">
        <f>IFERROR(VLOOKUP(Table917[[#This Row],[Indeks]],cetvrtaLaboratorijskaVezba[],14,FALSE),0)</f>
        <v>65</v>
      </c>
      <c r="G9" s="10">
        <f>IFERROR(VLOOKUP(Table917[[#This Row],[Indeks]],dz[],4,FALSE),0)</f>
        <v>85</v>
      </c>
      <c r="H9" s="10">
        <f>IFERROR(VLOOKUP(Table917[[#This Row],[Indeks]],dz[],5,FALSE),0)</f>
        <v>80</v>
      </c>
      <c r="I9" s="10">
        <f>(MAX(Table917[[#This Row],[L2]],Table917[[#This Row],[DZ1]])+MAX(Table917[[#This Row],[L4]],Table917[[#This Row],[DZ2]]))/2</f>
        <v>82.5</v>
      </c>
      <c r="J9" s="10">
        <f>(Table917[[#This Row],[DZ1]]+Table917[[#This Row],[DZ2]])/2</f>
        <v>82.5</v>
      </c>
      <c r="K9" s="10" cm="1">
        <f t="array" ref="K9">MAX((Table917[[#This Row],[K1]]+Table917[[#This Row],[K2]])/2,IFERROR(INDEX(ispit[Ukupno], MATCH(Table917[[#This Row],[Indeks]]&amp;"1",ispit[Indeks]&amp;ispit[Rok],0)),0)*10)</f>
        <v>62.5</v>
      </c>
      <c r="L9" s="10" cm="1">
        <f t="array" ref="L9">IF(MAX(ROW(ispit[Indeks]) * (Table917[[#This Row],[Indeks]]=ispit[Indeks]) * ($S$1&gt;=ispit[Rok])) &gt; 0,10 * INDEX(ispit[Ukupno],SUMPRODUCT(MAX(ROW(ispit[Indeks]) * (Table917[[#This Row],[Indeks]]=ispit[Indeks]) * ($S$1&gt;=ispit[Rok])) - 1)),0)</f>
        <v>62.5</v>
      </c>
      <c r="M9" s="10">
        <f>IF(AND(Table917[[#This Row],[L]]&gt;=40,Table917[[#This Row],[I]]&gt;=40),0.2*Table917[[#This Row],[L]]+0.3*Table917[[#This Row],[D]]+0.2*Table917[[#This Row],[K]]+0.3*Table917[[#This Row],[I]],0)</f>
        <v>72.5</v>
      </c>
      <c r="N9" s="12">
        <f>IF(OR(Table917[[#This Row],[DZ rok]]=$S$1,Table917[[#This Row],[I rok]]=$S$1),MEDIAN(5,10,FLOOR((Table917[[#This Row],[P]] + 9.99)/10,1)),3)</f>
        <v>3</v>
      </c>
      <c r="O9" s="12">
        <f>IFERROR(VLOOKUP(Table917[[#This Row],[Indeks]],dz[],3,FALSE),"")</f>
        <v>1</v>
      </c>
      <c r="P9" s="12" cm="1">
        <f t="array" ref="P9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9" s="2"/>
      <c r="R9" s="1">
        <v>8</v>
      </c>
      <c r="S9" s="1">
        <f>COUNTIF(Table917[Ocena],Table1118[[#This Row],[Ocena]])</f>
        <v>0</v>
      </c>
    </row>
    <row r="10" spans="1:19" ht="15.6" x14ac:dyDescent="0.3">
      <c r="A10" s="10" t="s">
        <v>96</v>
      </c>
      <c r="B10" s="10" t="str">
        <f>VLOOKUP(Table917[[#This Row],[Indeks]],spisakStudenata[[Indeks]:[Prezime i ime (latinica)]],3,FALSE)</f>
        <v>Spasojević Aleksandar</v>
      </c>
      <c r="C10" s="10">
        <f>IFERROR(10 * VLOOKUP(Table917[[#This Row],[Indeks]],prviKolokvijum[[Indeks]:[K1]],13,FALSE),0)</f>
        <v>68.555555555555557</v>
      </c>
      <c r="D10" s="10">
        <f>IFERROR(VLOOKUP(Table917[[#This Row],[Indeks]],drugiKolokvijum[[Indeks]:[Ukupno]],13,FALSE),0)*10</f>
        <v>27.200000000000003</v>
      </c>
      <c r="E10" s="10">
        <f>IFERROR(VLOOKUP(Table917[[#This Row],[Indeks]],drugaLaboratorijskaVezba[],14,FALSE),0)</f>
        <v>0</v>
      </c>
      <c r="F10" s="10">
        <f>IFERROR(VLOOKUP(Table917[[#This Row],[Indeks]],cetvrtaLaboratorijskaVezba[],14,FALSE),0)</f>
        <v>0</v>
      </c>
      <c r="G10" s="10">
        <f>IFERROR(VLOOKUP(Table917[[#This Row],[Indeks]],dz[],4,FALSE),0)</f>
        <v>100</v>
      </c>
      <c r="H10" s="10">
        <f>IFERROR(VLOOKUP(Table917[[#This Row],[Indeks]],dz[],5,FALSE),0)</f>
        <v>100</v>
      </c>
      <c r="I10" s="10">
        <f>(MAX(Table917[[#This Row],[L2]],Table917[[#This Row],[DZ1]])+MAX(Table917[[#This Row],[L4]],Table917[[#This Row],[DZ2]]))/2</f>
        <v>100</v>
      </c>
      <c r="J10" s="10">
        <f>(Table917[[#This Row],[DZ1]]+Table917[[#This Row],[DZ2]])/2</f>
        <v>100</v>
      </c>
      <c r="K10" s="10" cm="1">
        <f t="array" ref="K10">MAX((Table917[[#This Row],[K1]]+Table917[[#This Row],[K2]])/2,IFERROR(INDEX(ispit[Ukupno], MATCH(Table917[[#This Row],[Indeks]]&amp;"1",ispit[Indeks]&amp;ispit[Rok],0)),0)*10)</f>
        <v>66.100000000000009</v>
      </c>
      <c r="L10" s="10" cm="1">
        <f t="array" ref="L10">IF(MAX(ROW(ispit[Indeks]) * (Table917[[#This Row],[Indeks]]=ispit[Indeks]) * ($S$1&gt;=ispit[Rok])) &gt; 0,10 * INDEX(ispit[Ukupno],SUMPRODUCT(MAX(ROW(ispit[Indeks]) * (Table917[[#This Row],[Indeks]]=ispit[Indeks]) * ($S$1&gt;=ispit[Rok])) - 1)),0)</f>
        <v>66.100000000000009</v>
      </c>
      <c r="M10" s="10">
        <f>IF(AND(Table917[[#This Row],[L]]&gt;=40,Table917[[#This Row],[I]]&gt;=40),0.2*Table917[[#This Row],[L]]+0.3*Table917[[#This Row],[D]]+0.2*Table917[[#This Row],[K]]+0.3*Table917[[#This Row],[I]],0)</f>
        <v>83.05</v>
      </c>
      <c r="N10" s="12">
        <f>IF(OR(Table917[[#This Row],[DZ rok]]=$S$1,Table917[[#This Row],[I rok]]=$S$1),MEDIAN(5,10,FLOOR((Table917[[#This Row],[P]] + 9.99)/10,1)),3)</f>
        <v>9</v>
      </c>
      <c r="O10" s="12">
        <f>IFERROR(VLOOKUP(Table917[[#This Row],[Indeks]],dz[],3,FALSE),"")</f>
        <v>2</v>
      </c>
      <c r="P10" s="12" cm="1">
        <f t="array" ref="P10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10" s="2"/>
      <c r="R10" s="1">
        <v>9</v>
      </c>
      <c r="S10" s="1">
        <f>COUNTIF(Table917[Ocena],Table1118[[#This Row],[Ocena]])</f>
        <v>2</v>
      </c>
    </row>
    <row r="11" spans="1:19" ht="15.6" x14ac:dyDescent="0.3">
      <c r="A11" s="10" t="s">
        <v>98</v>
      </c>
      <c r="B11" s="10" t="str">
        <f>VLOOKUP(Table917[[#This Row],[Indeks]],spisakStudenata[[Indeks]:[Prezime i ime (latinica)]],3,FALSE)</f>
        <v>Kovačević Miloš</v>
      </c>
      <c r="C11" s="10">
        <f>IFERROR(10 * VLOOKUP(Table917[[#This Row],[Indeks]],prviKolokvijum[[Indeks]:[K1]],13,FALSE),0)</f>
        <v>96.333333333333329</v>
      </c>
      <c r="D11" s="10">
        <f>IFERROR(VLOOKUP(Table917[[#This Row],[Indeks]],drugiKolokvijum[[Indeks]:[Ukupno]],13,FALSE),0)*10</f>
        <v>57.800000000000004</v>
      </c>
      <c r="E11" s="10">
        <f>IFERROR(VLOOKUP(Table917[[#This Row],[Indeks]],drugaLaboratorijskaVezba[],14,FALSE),0)</f>
        <v>0</v>
      </c>
      <c r="F11" s="10">
        <f>IFERROR(VLOOKUP(Table917[[#This Row],[Indeks]],cetvrtaLaboratorijskaVezba[],14,FALSE),0)</f>
        <v>0</v>
      </c>
      <c r="G11" s="10">
        <f>IFERROR(VLOOKUP(Table917[[#This Row],[Indeks]],dz[],4,FALSE),0)</f>
        <v>100</v>
      </c>
      <c r="H11" s="10">
        <f>IFERROR(VLOOKUP(Table917[[#This Row],[Indeks]],dz[],5,FALSE),0)</f>
        <v>100</v>
      </c>
      <c r="I11" s="10">
        <f>(MAX(Table917[[#This Row],[L2]],Table917[[#This Row],[DZ1]])+MAX(Table917[[#This Row],[L4]],Table917[[#This Row],[DZ2]]))/2</f>
        <v>100</v>
      </c>
      <c r="J11" s="10">
        <f>(Table917[[#This Row],[DZ1]]+Table917[[#This Row],[DZ2]])/2</f>
        <v>100</v>
      </c>
      <c r="K11" s="10" cm="1">
        <f t="array" ref="K11">MAX((Table917[[#This Row],[K1]]+Table917[[#This Row],[K2]])/2,IFERROR(INDEX(ispit[Ukupno], MATCH(Table917[[#This Row],[Indeks]]&amp;"1",ispit[Indeks]&amp;ispit[Rok],0)),0)*10)</f>
        <v>77.066666666666663</v>
      </c>
      <c r="L11" s="10" cm="1">
        <f t="array" ref="L11">IF(MAX(ROW(ispit[Indeks]) * (Table917[[#This Row],[Indeks]]=ispit[Indeks]) * ($S$1&gt;=ispit[Rok])) &gt; 0,10 * INDEX(ispit[Ukupno],SUMPRODUCT(MAX(ROW(ispit[Indeks]) * (Table917[[#This Row],[Indeks]]=ispit[Indeks]) * ($S$1&gt;=ispit[Rok])) - 1)),0)</f>
        <v>58.3</v>
      </c>
      <c r="M11" s="10">
        <f>IF(AND(Table917[[#This Row],[L]]&gt;=40,Table917[[#This Row],[I]]&gt;=40),0.2*Table917[[#This Row],[L]]+0.3*Table917[[#This Row],[D]]+0.2*Table917[[#This Row],[K]]+0.3*Table917[[#This Row],[I]],0)</f>
        <v>82.903333333333322</v>
      </c>
      <c r="N11" s="12">
        <f>IF(OR(Table917[[#This Row],[DZ rok]]=$S$1,Table917[[#This Row],[I rok]]=$S$1),MEDIAN(5,10,FLOOR((Table917[[#This Row],[P]] + 9.99)/10,1)),3)</f>
        <v>3</v>
      </c>
      <c r="O11" s="12">
        <f>IFERROR(VLOOKUP(Table917[[#This Row],[Indeks]],dz[],3,FALSE),"")</f>
        <v>3</v>
      </c>
      <c r="P11" s="12" cm="1">
        <f t="array" ref="P11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11" s="2"/>
      <c r="R11" s="1">
        <v>10</v>
      </c>
      <c r="S11" s="1">
        <f>COUNTIF(Table917[Ocena],Table1118[[#This Row],[Ocena]])</f>
        <v>0</v>
      </c>
    </row>
    <row r="12" spans="1:19" ht="15.6" x14ac:dyDescent="0.3">
      <c r="A12" s="10" t="s">
        <v>102</v>
      </c>
      <c r="B12" s="10" t="str">
        <f>VLOOKUP(Table917[[#This Row],[Indeks]],spisakStudenata[[Indeks]:[Prezime i ime (latinica)]],3,FALSE)</f>
        <v>Vojinović Marko</v>
      </c>
      <c r="C12" s="10">
        <f>IFERROR(10 * VLOOKUP(Table917[[#This Row],[Indeks]],prviKolokvijum[[Indeks]:[K1]],13,FALSE),0)</f>
        <v>63.000000000000007</v>
      </c>
      <c r="D12" s="10">
        <f>IFERROR(VLOOKUP(Table917[[#This Row],[Indeks]],drugiKolokvijum[[Indeks]:[Ukupno]],13,FALSE),0)*10</f>
        <v>30.1</v>
      </c>
      <c r="E12" s="10">
        <f>IFERROR(VLOOKUP(Table917[[#This Row],[Indeks]],drugaLaboratorijskaVezba[],14,FALSE),0)</f>
        <v>0</v>
      </c>
      <c r="F12" s="10">
        <f>IFERROR(VLOOKUP(Table917[[#This Row],[Indeks]],cetvrtaLaboratorijskaVezba[],14,FALSE),0)</f>
        <v>0</v>
      </c>
      <c r="G12" s="10">
        <f>IFERROR(VLOOKUP(Table917[[#This Row],[Indeks]],dz[],4,FALSE),0)</f>
        <v>90</v>
      </c>
      <c r="H12" s="10">
        <f>IFERROR(VLOOKUP(Table917[[#This Row],[Indeks]],dz[],5,FALSE),0)</f>
        <v>80</v>
      </c>
      <c r="I12" s="10">
        <f>(MAX(Table917[[#This Row],[L2]],Table917[[#This Row],[DZ1]])+MAX(Table917[[#This Row],[L4]],Table917[[#This Row],[DZ2]]))/2</f>
        <v>85</v>
      </c>
      <c r="J12" s="10">
        <f>(Table917[[#This Row],[DZ1]]+Table917[[#This Row],[DZ2]])/2</f>
        <v>85</v>
      </c>
      <c r="K12" s="10" cm="1">
        <f t="array" ref="K12">MAX((Table917[[#This Row],[K1]]+Table917[[#This Row],[K2]])/2,IFERROR(INDEX(ispit[Ukupno], MATCH(Table917[[#This Row],[Indeks]]&amp;"1",ispit[Indeks]&amp;ispit[Rok],0)),0)*10)</f>
        <v>46.550000000000004</v>
      </c>
      <c r="L12" s="10" cm="1">
        <f t="array" ref="L12">IF(MAX(ROW(ispit[Indeks]) * (Table917[[#This Row],[Indeks]]=ispit[Indeks]) * ($S$1&gt;=ispit[Rok])) &gt; 0,10 * INDEX(ispit[Ukupno],SUMPRODUCT(MAX(ROW(ispit[Indeks]) * (Table917[[#This Row],[Indeks]]=ispit[Indeks]) * ($S$1&gt;=ispit[Rok])) - 1)),0)</f>
        <v>40.099999999999994</v>
      </c>
      <c r="M12" s="10">
        <f>IF(AND(Table917[[#This Row],[L]]&gt;=40,Table917[[#This Row],[I]]&gt;=40),0.2*Table917[[#This Row],[L]]+0.3*Table917[[#This Row],[D]]+0.2*Table917[[#This Row],[K]]+0.3*Table917[[#This Row],[I]],0)</f>
        <v>63.84</v>
      </c>
      <c r="N12" s="12">
        <f>IF(OR(Table917[[#This Row],[DZ rok]]=$S$1,Table917[[#This Row],[I rok]]=$S$1),MEDIAN(5,10,FLOOR((Table917[[#This Row],[P]] + 9.99)/10,1)),3)</f>
        <v>3</v>
      </c>
      <c r="O12" s="12">
        <f>IFERROR(VLOOKUP(Table917[[#This Row],[Indeks]],dz[],3,FALSE),"")</f>
        <v>3</v>
      </c>
      <c r="P12" s="12" cm="1">
        <f t="array" ref="P12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12" s="2"/>
      <c r="R12" s="1"/>
    </row>
    <row r="13" spans="1:19" ht="15.6" x14ac:dyDescent="0.3">
      <c r="A13" s="10" t="s">
        <v>104</v>
      </c>
      <c r="B13" s="10" t="str">
        <f>VLOOKUP(Table917[[#This Row],[Indeks]],spisakStudenata[[Indeks]:[Prezime i ime (latinica)]],3,FALSE)</f>
        <v>Kurepa Anja</v>
      </c>
      <c r="C13" s="10">
        <f>IFERROR(10 * VLOOKUP(Table917[[#This Row],[Indeks]],prviKolokvijum[[Indeks]:[K1]],13,FALSE),0)</f>
        <v>68.555555555555557</v>
      </c>
      <c r="D13" s="10">
        <f>IFERROR(VLOOKUP(Table917[[#This Row],[Indeks]],drugiKolokvijum[[Indeks]:[Ukupno]],13,FALSE),0)*10</f>
        <v>42.5</v>
      </c>
      <c r="E13" s="10">
        <f>IFERROR(VLOOKUP(Table917[[#This Row],[Indeks]],drugaLaboratorijskaVezba[],14,FALSE),0)</f>
        <v>10</v>
      </c>
      <c r="F13" s="10">
        <f>IFERROR(VLOOKUP(Table917[[#This Row],[Indeks]],cetvrtaLaboratorijskaVezba[],14,FALSE),0)</f>
        <v>0</v>
      </c>
      <c r="G13" s="10">
        <f>IFERROR(VLOOKUP(Table917[[#This Row],[Indeks]],dz[],4,FALSE),0)</f>
        <v>100</v>
      </c>
      <c r="H13" s="10">
        <f>IFERROR(VLOOKUP(Table917[[#This Row],[Indeks]],dz[],5,FALSE),0)</f>
        <v>100</v>
      </c>
      <c r="I13" s="10">
        <f>(MAX(Table917[[#This Row],[L2]],Table917[[#This Row],[DZ1]])+MAX(Table917[[#This Row],[L4]],Table917[[#This Row],[DZ2]]))/2</f>
        <v>100</v>
      </c>
      <c r="J13" s="10">
        <f>(Table917[[#This Row],[DZ1]]+Table917[[#This Row],[DZ2]])/2</f>
        <v>100</v>
      </c>
      <c r="K13" s="10" cm="1">
        <f t="array" ref="K13">MAX((Table917[[#This Row],[K1]]+Table917[[#This Row],[K2]])/2,IFERROR(INDEX(ispit[Ukupno], MATCH(Table917[[#This Row],[Indeks]]&amp;"1",ispit[Indeks]&amp;ispit[Rok],0)),0)*10)</f>
        <v>61.3</v>
      </c>
      <c r="L13" s="10" cm="1">
        <f t="array" ref="L13">IF(MAX(ROW(ispit[Indeks]) * (Table917[[#This Row],[Indeks]]=ispit[Indeks]) * ($S$1&gt;=ispit[Rok])) &gt; 0,10 * INDEX(ispit[Ukupno],SUMPRODUCT(MAX(ROW(ispit[Indeks]) * (Table917[[#This Row],[Indeks]]=ispit[Indeks]) * ($S$1&gt;=ispit[Rok])) - 1)),0)</f>
        <v>61.3</v>
      </c>
      <c r="M13" s="10">
        <f>IF(AND(Table917[[#This Row],[L]]&gt;=40,Table917[[#This Row],[I]]&gt;=40),0.2*Table917[[#This Row],[L]]+0.3*Table917[[#This Row],[D]]+0.2*Table917[[#This Row],[K]]+0.3*Table917[[#This Row],[I]],0)</f>
        <v>80.649999999999991</v>
      </c>
      <c r="N13" s="12">
        <f>IF(OR(Table917[[#This Row],[DZ rok]]=$S$1,Table917[[#This Row],[I rok]]=$S$1),MEDIAN(5,10,FLOOR((Table917[[#This Row],[P]] + 9.99)/10,1)),3)</f>
        <v>9</v>
      </c>
      <c r="O13" s="12">
        <f>IFERROR(VLOOKUP(Table917[[#This Row],[Indeks]],dz[],3,FALSE),"")</f>
        <v>2</v>
      </c>
      <c r="P13" s="12" cm="1">
        <f t="array" ref="P13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13" s="2"/>
      <c r="R13" s="1"/>
    </row>
    <row r="14" spans="1:19" ht="15.6" x14ac:dyDescent="0.3">
      <c r="A14" s="10" t="s">
        <v>112</v>
      </c>
      <c r="B14" s="10" t="str">
        <f>VLOOKUP(Table917[[#This Row],[Indeks]],spisakStudenata[[Indeks]:[Prezime i ime (latinica)]],3,FALSE)</f>
        <v>Dragutinović Marko</v>
      </c>
      <c r="C14" s="10">
        <f>IFERROR(10 * VLOOKUP(Table917[[#This Row],[Indeks]],prviKolokvijum[[Indeks]:[K1]],13,FALSE),0)</f>
        <v>52.777777777777779</v>
      </c>
      <c r="D14" s="10">
        <f>IFERROR(VLOOKUP(Table917[[#This Row],[Indeks]],drugiKolokvijum[[Indeks]:[Ukupno]],13,FALSE),0)*10</f>
        <v>0</v>
      </c>
      <c r="E14" s="10">
        <f>IFERROR(VLOOKUP(Table917[[#This Row],[Indeks]],drugaLaboratorijskaVezba[],14,FALSE),0)</f>
        <v>0</v>
      </c>
      <c r="F14" s="10">
        <f>IFERROR(VLOOKUP(Table917[[#This Row],[Indeks]],cetvrtaLaboratorijskaVezba[],14,FALSE),0)</f>
        <v>0</v>
      </c>
      <c r="G14" s="10">
        <f>IFERROR(VLOOKUP(Table917[[#This Row],[Indeks]],dz[],4,FALSE),0)</f>
        <v>0</v>
      </c>
      <c r="H14" s="10">
        <f>IFERROR(VLOOKUP(Table917[[#This Row],[Indeks]],dz[],5,FALSE),0)</f>
        <v>0</v>
      </c>
      <c r="I14" s="10">
        <f>(MAX(Table917[[#This Row],[L2]],Table917[[#This Row],[DZ1]])+MAX(Table917[[#This Row],[L4]],Table917[[#This Row],[DZ2]]))/2</f>
        <v>0</v>
      </c>
      <c r="J14" s="10">
        <f>(Table917[[#This Row],[DZ1]]+Table917[[#This Row],[DZ2]])/2</f>
        <v>0</v>
      </c>
      <c r="K14" s="10" cm="1">
        <f t="array" ref="K14">MAX((Table917[[#This Row],[K1]]+Table917[[#This Row],[K2]])/2,IFERROR(INDEX(ispit[Ukupno], MATCH(Table917[[#This Row],[Indeks]]&amp;"1",ispit[Indeks]&amp;ispit[Rok],0)),0)*10)</f>
        <v>26.388888888888889</v>
      </c>
      <c r="L14" s="10" cm="1">
        <f t="array" ref="L14">IF(MAX(ROW(ispit[Indeks]) * (Table917[[#This Row],[Indeks]]=ispit[Indeks]) * ($S$1&gt;=ispit[Rok])) &gt; 0,10 * INDEX(ispit[Ukupno],SUMPRODUCT(MAX(ROW(ispit[Indeks]) * (Table917[[#This Row],[Indeks]]=ispit[Indeks]) * ($S$1&gt;=ispit[Rok])) - 1)),0)</f>
        <v>42.699999999999996</v>
      </c>
      <c r="M14" s="10">
        <f>IF(AND(Table917[[#This Row],[L]]&gt;=40,Table917[[#This Row],[I]]&gt;=40),0.2*Table917[[#This Row],[L]]+0.3*Table917[[#This Row],[D]]+0.2*Table917[[#This Row],[K]]+0.3*Table917[[#This Row],[I]],0)</f>
        <v>0</v>
      </c>
      <c r="N14" s="12">
        <f>IF(OR(Table917[[#This Row],[DZ rok]]=$S$1,Table917[[#This Row],[I rok]]=$S$1),MEDIAN(5,10,FLOOR((Table917[[#This Row],[P]] + 9.99)/10,1)),3)</f>
        <v>5</v>
      </c>
      <c r="O14" s="12" t="str">
        <f>IFERROR(VLOOKUP(Table917[[#This Row],[Indeks]],dz[],3,FALSE),"")</f>
        <v/>
      </c>
      <c r="P14" s="12" cm="1">
        <f t="array" ref="P14">IF(MAX(ROW(ispit[Indeks]) * (Table917[[#This Row],[Indeks]]=ispit[Indeks]) * ($S$1&gt;=ispit[Rok])) &gt; 0,INDEX(ispit[Rok],SUMPRODUCT(MAX(ROW(ispit[Indeks]) * (Table917[[#This Row],[Indeks]]=ispit[Indeks]) * ($S$1&gt;=ispit[Rok])) - 1)),0)</f>
        <v>2</v>
      </c>
      <c r="Q14" s="2"/>
      <c r="R14" s="1"/>
    </row>
    <row r="15" spans="1:19" ht="15.6" x14ac:dyDescent="0.3">
      <c r="A15" s="10" t="s">
        <v>116</v>
      </c>
      <c r="B15" s="10" t="str">
        <f>VLOOKUP(Table917[[#This Row],[Indeks]],spisakStudenata[[Indeks]:[Prezime i ime (latinica)]],3,FALSE)</f>
        <v>Perić Dragan</v>
      </c>
      <c r="C15" s="10">
        <f>IFERROR(10 * VLOOKUP(Table917[[#This Row],[Indeks]],prviKolokvijum[[Indeks]:[K1]],13,FALSE),0)</f>
        <v>100</v>
      </c>
      <c r="D15" s="10">
        <f>IFERROR(VLOOKUP(Table917[[#This Row],[Indeks]],drugiKolokvijum[[Indeks]:[Ukupno]],13,FALSE),0)*10</f>
        <v>75.8</v>
      </c>
      <c r="E15" s="10">
        <f>IFERROR(VLOOKUP(Table917[[#This Row],[Indeks]],drugaLaboratorijskaVezba[],14,FALSE),0)</f>
        <v>10</v>
      </c>
      <c r="F15" s="10">
        <f>IFERROR(VLOOKUP(Table917[[#This Row],[Indeks]],cetvrtaLaboratorijskaVezba[],14,FALSE),0)</f>
        <v>65</v>
      </c>
      <c r="G15" s="10">
        <f>IFERROR(VLOOKUP(Table917[[#This Row],[Indeks]],dz[],4,FALSE),0)</f>
        <v>0</v>
      </c>
      <c r="H15" s="10">
        <f>IFERROR(VLOOKUP(Table917[[#This Row],[Indeks]],dz[],5,FALSE),0)</f>
        <v>0</v>
      </c>
      <c r="I15" s="10">
        <f>(MAX(Table917[[#This Row],[L2]],Table917[[#This Row],[DZ1]])+MAX(Table917[[#This Row],[L4]],Table917[[#This Row],[DZ2]]))/2</f>
        <v>37.5</v>
      </c>
      <c r="J15" s="10">
        <f>(Table917[[#This Row],[DZ1]]+Table917[[#This Row],[DZ2]])/2</f>
        <v>0</v>
      </c>
      <c r="K15" s="10" cm="1">
        <f t="array" ref="K15">MAX((Table917[[#This Row],[K1]]+Table917[[#This Row],[K2]])/2,IFERROR(INDEX(ispit[Ukupno], MATCH(Table917[[#This Row],[Indeks]]&amp;"1",ispit[Indeks]&amp;ispit[Rok],0)),0)*10)</f>
        <v>87.9</v>
      </c>
      <c r="L15" s="10" cm="1">
        <f t="array" ref="L15">IF(MAX(ROW(ispit[Indeks]) * (Table917[[#This Row],[Indeks]]=ispit[Indeks]) * ($S$1&gt;=ispit[Rok])) &gt; 0,10 * INDEX(ispit[Ukupno],SUMPRODUCT(MAX(ROW(ispit[Indeks]) * (Table917[[#This Row],[Indeks]]=ispit[Indeks]) * ($S$1&gt;=ispit[Rok])) - 1)),0)</f>
        <v>71.7</v>
      </c>
      <c r="M15" s="10">
        <f>IF(AND(Table917[[#This Row],[L]]&gt;=40,Table917[[#This Row],[I]]&gt;=40),0.2*Table917[[#This Row],[L]]+0.3*Table917[[#This Row],[D]]+0.2*Table917[[#This Row],[K]]+0.3*Table917[[#This Row],[I]],0)</f>
        <v>0</v>
      </c>
      <c r="N15" s="12">
        <f>IF(OR(Table917[[#This Row],[DZ rok]]=$S$1,Table917[[#This Row],[I rok]]=$S$1),MEDIAN(5,10,FLOOR((Table917[[#This Row],[P]] + 9.99)/10,1)),3)</f>
        <v>3</v>
      </c>
      <c r="O15" s="12" t="str">
        <f>IFERROR(VLOOKUP(Table917[[#This Row],[Indeks]],dz[],3,FALSE),"")</f>
        <v/>
      </c>
      <c r="P15" s="12" cm="1">
        <f t="array" ref="P15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15" s="2"/>
      <c r="R15" s="1"/>
    </row>
    <row r="16" spans="1:19" ht="15.6" x14ac:dyDescent="0.3">
      <c r="A16" s="10" t="s">
        <v>118</v>
      </c>
      <c r="B16" s="10" t="str">
        <f>VLOOKUP(Table917[[#This Row],[Indeks]],spisakStudenata[[Indeks]:[Prezime i ime (latinica)]],3,FALSE)</f>
        <v>Samardžić Lea</v>
      </c>
      <c r="C16" s="10">
        <f>IFERROR(10 * VLOOKUP(Table917[[#This Row],[Indeks]],prviKolokvijum[[Indeks]:[K1]],13,FALSE),0)</f>
        <v>72.222222222222229</v>
      </c>
      <c r="D16" s="10">
        <f>IFERROR(VLOOKUP(Table917[[#This Row],[Indeks]],drugiKolokvijum[[Indeks]:[Ukupno]],13,FALSE),0)*10</f>
        <v>80</v>
      </c>
      <c r="E16" s="10">
        <f>IFERROR(VLOOKUP(Table917[[#This Row],[Indeks]],drugaLaboratorijskaVezba[],14,FALSE),0)</f>
        <v>5</v>
      </c>
      <c r="F16" s="10">
        <f>IFERROR(VLOOKUP(Table917[[#This Row],[Indeks]],cetvrtaLaboratorijskaVezba[],14,FALSE),0)</f>
        <v>0</v>
      </c>
      <c r="G16" s="10">
        <f>IFERROR(VLOOKUP(Table917[[#This Row],[Indeks]],dz[],4,FALSE),0)</f>
        <v>100</v>
      </c>
      <c r="H16" s="10">
        <f>IFERROR(VLOOKUP(Table917[[#This Row],[Indeks]],dz[],5,FALSE),0)</f>
        <v>100</v>
      </c>
      <c r="I16" s="10">
        <f>(MAX(Table917[[#This Row],[L2]],Table917[[#This Row],[DZ1]])+MAX(Table917[[#This Row],[L4]],Table917[[#This Row],[DZ2]]))/2</f>
        <v>100</v>
      </c>
      <c r="J16" s="10">
        <f>(Table917[[#This Row],[DZ1]]+Table917[[#This Row],[DZ2]])/2</f>
        <v>100</v>
      </c>
      <c r="K16" s="10" cm="1">
        <f t="array" ref="K16">MAX((Table917[[#This Row],[K1]]+Table917[[#This Row],[K2]])/2,IFERROR(INDEX(ispit[Ukupno], MATCH(Table917[[#This Row],[Indeks]]&amp;"1",ispit[Indeks]&amp;ispit[Rok],0)),0)*10)</f>
        <v>76.111111111111114</v>
      </c>
      <c r="L16" s="10" cm="1">
        <f t="array" ref="L16">IF(MAX(ROW(ispit[Indeks]) * (Table917[[#This Row],[Indeks]]=ispit[Indeks]) * ($S$1&gt;=ispit[Rok])) &gt; 0,10 * INDEX(ispit[Ukupno],SUMPRODUCT(MAX(ROW(ispit[Indeks]) * (Table917[[#This Row],[Indeks]]=ispit[Indeks]) * ($S$1&gt;=ispit[Rok])) - 1)),0)</f>
        <v>50.8</v>
      </c>
      <c r="M16" s="10">
        <f>IF(AND(Table917[[#This Row],[L]]&gt;=40,Table917[[#This Row],[I]]&gt;=40),0.2*Table917[[#This Row],[L]]+0.3*Table917[[#This Row],[D]]+0.2*Table917[[#This Row],[K]]+0.3*Table917[[#This Row],[I]],0)</f>
        <v>80.462222222222223</v>
      </c>
      <c r="N16" s="12">
        <f>IF(OR(Table917[[#This Row],[DZ rok]]=$S$1,Table917[[#This Row],[I rok]]=$S$1),MEDIAN(5,10,FLOOR((Table917[[#This Row],[P]] + 9.99)/10,1)),3)</f>
        <v>3</v>
      </c>
      <c r="O16" s="12">
        <f>IFERROR(VLOOKUP(Table917[[#This Row],[Indeks]],dz[],3,FALSE),"")</f>
        <v>4</v>
      </c>
      <c r="P16" s="12" cm="1">
        <f t="array" ref="P16">IF(MAX(ROW(ispit[Indeks]) * (Table917[[#This Row],[Indeks]]=ispit[Indeks]) * ($S$1&gt;=ispit[Rok])) &gt; 0,INDEX(ispit[Rok],SUMPRODUCT(MAX(ROW(ispit[Indeks]) * (Table917[[#This Row],[Indeks]]=ispit[Indeks]) * ($S$1&gt;=ispit[Rok])) - 1)),0)</f>
        <v>1</v>
      </c>
      <c r="Q16" s="2"/>
      <c r="R16" s="1"/>
    </row>
    <row r="17" spans="1:18" ht="15.6" x14ac:dyDescent="0.3">
      <c r="A17" s="10" t="s">
        <v>120</v>
      </c>
      <c r="B17" s="10" t="str">
        <f>VLOOKUP(Table917[[#This Row],[Indeks]],spisakStudenata[[Indeks]:[Prezime i ime (latinica)]],3,FALSE)</f>
        <v>Majstorović Ljubica</v>
      </c>
      <c r="C17" s="10">
        <f>IFERROR(10 * VLOOKUP(Table917[[#This Row],[Indeks]],prviKolokvijum[[Indeks]:[K1]],13,FALSE),0)</f>
        <v>88.888888888888886</v>
      </c>
      <c r="D17" s="10">
        <f>IFERROR(VLOOKUP(Table917[[#This Row],[Indeks]],drugiKolokvijum[[Indeks]:[Ukupno]],13,FALSE),0)*10</f>
        <v>34.300000000000004</v>
      </c>
      <c r="E17" s="10">
        <f>IFERROR(VLOOKUP(Table917[[#This Row],[Indeks]],drugaLaboratorijskaVezba[],14,FALSE),0)</f>
        <v>0</v>
      </c>
      <c r="F17" s="10">
        <f>IFERROR(VLOOKUP(Table917[[#This Row],[Indeks]],cetvrtaLaboratorijskaVezba[],14,FALSE),0)</f>
        <v>0</v>
      </c>
      <c r="G17" s="10">
        <f>IFERROR(VLOOKUP(Table917[[#This Row],[Indeks]],dz[],4,FALSE),0)</f>
        <v>100</v>
      </c>
      <c r="H17" s="10">
        <f>IFERROR(VLOOKUP(Table917[[#This Row],[Indeks]],dz[],5,FALSE),0)</f>
        <v>100</v>
      </c>
      <c r="I17" s="10">
        <f>(MAX(Table917[[#This Row],[L2]],Table917[[#This Row],[DZ1]])+MAX(Table917[[#This Row],[L4]],Table917[[#This Row],[DZ2]]))/2</f>
        <v>100</v>
      </c>
      <c r="J17" s="10">
        <f>(Table917[[#This Row],[DZ1]]+Table917[[#This Row],[DZ2]])/2</f>
        <v>100</v>
      </c>
      <c r="K17" s="10" cm="1">
        <f t="array" ref="K17">MAX((Table917[[#This Row],[K1]]+Table917[[#This Row],[K2]])/2,IFERROR(INDEX(ispit[Ukupno], MATCH(Table917[[#This Row],[Indeks]]&amp;"1",ispit[Indeks]&amp;ispit[Rok],0)),0)*10)</f>
        <v>61.594444444444449</v>
      </c>
      <c r="L17" s="10" cm="1">
        <f t="array" ref="L17">IF(MAX(ROW(ispit[Indeks]) * (Table917[[#This Row],[Indeks]]=ispit[Indeks]) * ($S$1&gt;=ispit[Rok])) &gt; 0,10 * INDEX(ispit[Ukupno],SUMPRODUCT(MAX(ROW(ispit[Indeks]) * (Table917[[#This Row],[Indeks]]=ispit[Indeks]) * ($S$1&gt;=ispit[Rok])) - 1)),0)</f>
        <v>0</v>
      </c>
      <c r="M17" s="10">
        <f>IF(AND(Table917[[#This Row],[L]]&gt;=40,Table917[[#This Row],[I]]&gt;=40),0.2*Table917[[#This Row],[L]]+0.3*Table917[[#This Row],[D]]+0.2*Table917[[#This Row],[K]]+0.3*Table917[[#This Row],[I]],0)</f>
        <v>0</v>
      </c>
      <c r="N17" s="12">
        <f>IF(OR(Table917[[#This Row],[DZ rok]]=$S$1,Table917[[#This Row],[I rok]]=$S$1),MEDIAN(5,10,FLOOR((Table917[[#This Row],[P]] + 9.99)/10,1)),3)</f>
        <v>3</v>
      </c>
      <c r="O17" s="12">
        <f>IFERROR(VLOOKUP(Table917[[#This Row],[Indeks]],dz[],3,FALSE),"")</f>
        <v>4</v>
      </c>
      <c r="P17" s="12" cm="1">
        <f t="array" ref="P17">IF(MAX(ROW(ispit[Indeks]) * (Table917[[#This Row],[Indeks]]=ispit[Indeks]) * ($S$1&gt;=ispit[Rok])) &gt; 0,INDEX(ispit[Rok],SUMPRODUCT(MAX(ROW(ispit[Indeks]) * (Table917[[#This Row],[Indeks]]=ispit[Indeks]) * ($S$1&gt;=ispit[Rok])) - 1)),0)</f>
        <v>0</v>
      </c>
      <c r="Q17" s="2"/>
      <c r="R17" s="1"/>
    </row>
    <row r="18" spans="1:18" ht="15.6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2"/>
      <c r="R18" s="1"/>
    </row>
    <row r="19" spans="1:18" ht="15.6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2"/>
      <c r="R19" s="1"/>
    </row>
    <row r="20" spans="1:18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1"/>
    </row>
    <row r="21" spans="1:18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1"/>
    </row>
    <row r="22" spans="1:18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1"/>
    </row>
    <row r="23" spans="1:18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1"/>
    </row>
    <row r="24" spans="1:18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1"/>
    </row>
    <row r="25" spans="1:18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1"/>
    </row>
    <row r="26" spans="1:18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1"/>
    </row>
    <row r="27" spans="1:18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"/>
    </row>
    <row r="28" spans="1:18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1"/>
    </row>
    <row r="29" spans="1:18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1"/>
    </row>
    <row r="30" spans="1:18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1"/>
    </row>
    <row r="31" spans="1:18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1"/>
    </row>
    <row r="32" spans="1:18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1"/>
    </row>
    <row r="33" spans="1:18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1"/>
    </row>
    <row r="34" spans="1:18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1"/>
    </row>
    <row r="35" spans="1:18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1"/>
    </row>
    <row r="36" spans="1:18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1"/>
    </row>
    <row r="37" spans="1:18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1"/>
    </row>
    <row r="38" spans="1:18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1"/>
    </row>
    <row r="39" spans="1:18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1"/>
    </row>
    <row r="40" spans="1:18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</sheetData>
  <printOptions horizontalCentered="1"/>
  <pageMargins left="0.25" right="0.25" top="0.75" bottom="0.75" header="0.3" footer="0.3"/>
  <pageSetup paperSize="9" scale="38" orientation="portrait" r:id="rId1"/>
  <headerFooter>
    <oddHeader>&amp;CRačunarska grafika
Julski ispitni rok</oddHeader>
  </headerFooter>
  <colBreaks count="1" manualBreakCount="1">
    <brk id="14" max="1048575" man="1"/>
  </colBreaks>
  <drawing r:id="rId2"/>
  <tableParts count="2">
    <tablePart r:id="rId3"/>
    <tablePart r:id="rId4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64C0B-A1B0-4857-B8FF-6CF752CD6ADB}">
  <sheetPr>
    <pageSetUpPr fitToPage="1"/>
  </sheetPr>
  <dimension ref="A1:T40"/>
  <sheetViews>
    <sheetView zoomScaleNormal="100" workbookViewId="0"/>
  </sheetViews>
  <sheetFormatPr defaultRowHeight="14.4" x14ac:dyDescent="0.3"/>
  <cols>
    <col min="1" max="1" width="10.77734375" bestFit="1" customWidth="1"/>
    <col min="2" max="2" width="20.109375" bestFit="1" customWidth="1"/>
  </cols>
  <sheetData>
    <row r="1" spans="1:20" ht="15.6" x14ac:dyDescent="0.3">
      <c r="A1" s="2" t="s">
        <v>0</v>
      </c>
      <c r="B1" s="2" t="s">
        <v>1</v>
      </c>
      <c r="C1" s="2" t="s">
        <v>31</v>
      </c>
      <c r="D1" s="2" t="s">
        <v>32</v>
      </c>
      <c r="E1" s="2" t="s">
        <v>33</v>
      </c>
      <c r="F1" s="2" t="s">
        <v>34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27</v>
      </c>
      <c r="O1" s="2" t="s">
        <v>54</v>
      </c>
      <c r="P1" s="2" t="s">
        <v>46</v>
      </c>
      <c r="Q1" s="2" t="s">
        <v>45</v>
      </c>
      <c r="R1" s="2"/>
      <c r="S1" s="8" t="s">
        <v>44</v>
      </c>
      <c r="T1" s="8">
        <v>3</v>
      </c>
    </row>
    <row r="2" spans="1:20" ht="15.6" x14ac:dyDescent="0.3">
      <c r="A2" s="13" t="s">
        <v>58</v>
      </c>
      <c r="B2" s="10" t="str">
        <f>VLOOKUP(Table91719[[#This Row],[Indeks]],spisakStudenata[[Indeks]:[Prezime i ime (latinica)]],3,FALSE)</f>
        <v>Laušević Ivan</v>
      </c>
      <c r="C2" s="10">
        <f>IFERROR(10 * VLOOKUP(Table91719[[#This Row],[Indeks]],prviKolokvijum[[Indeks]:[K1]],13,FALSE),0)</f>
        <v>0</v>
      </c>
      <c r="D2" s="10">
        <f>IFERROR(VLOOKUP(Table91719[[#This Row],[Indeks]],drugiKolokvijum[[Indeks]:[Ukupno]],13,FALSE),0)*10</f>
        <v>0</v>
      </c>
      <c r="E2" s="10">
        <f>IFERROR(VLOOKUP(Table91719[[#This Row],[Indeks]],drugaLaboratorijskaVezba[],14,FALSE),0)</f>
        <v>0</v>
      </c>
      <c r="F2" s="10">
        <f>IFERROR(VLOOKUP(Table91719[[#This Row],[Indeks]],cetvrtaLaboratorijskaVezba[],14,FALSE),0)</f>
        <v>0</v>
      </c>
      <c r="G2" s="10">
        <f>IFERROR(VLOOKUP(Table91719[[#This Row],[Indeks]],dz[],4,FALSE),0)</f>
        <v>0</v>
      </c>
      <c r="H2" s="10">
        <f>IFERROR(VLOOKUP(Table91719[[#This Row],[Indeks]],dz[],5,FALSE),0)</f>
        <v>0</v>
      </c>
      <c r="I2" s="10">
        <f>(MAX(Table91719[[#This Row],[L2]],Table91719[[#This Row],[DZ1]])+MAX(Table91719[[#This Row],[L4]],Table91719[[#This Row],[DZ2]]))/2</f>
        <v>0</v>
      </c>
      <c r="J2" s="10">
        <f>(Table91719[[#This Row],[DZ1]]+Table91719[[#This Row],[DZ2]])/2</f>
        <v>0</v>
      </c>
      <c r="K2" s="10" cm="1">
        <f t="array" ref="K2">MAX((Table91719[[#This Row],[K1]]+Table91719[[#This Row],[K2]])/2,IFERROR(INDEX(ispit[Ukupno], MATCH(Table91719[[#This Row],[Indeks]]&amp;"1",ispit[Indeks]&amp;ispit[Rok],0)),0)*10)</f>
        <v>0</v>
      </c>
      <c r="L2" s="10" cm="1">
        <f t="array" ref="L2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2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2" s="12">
        <f>IF(OR(Table91719[[#This Row],[DZ rok]]=$T$1,Table91719[[#This Row],[I rok]]=$T$1),MEDIAN(5,10,FLOOR((Table91719[[#This Row],[P]] + 9.99)/10,1)),3)</f>
        <v>3</v>
      </c>
      <c r="O2" s="10"/>
      <c r="P2" s="10" t="str">
        <f>IFERROR(VLOOKUP(Table91719[[#This Row],[Indeks]],dz[],3,FALSE),"")</f>
        <v/>
      </c>
      <c r="Q2" s="10" cm="1">
        <f t="array" ref="Q2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2" s="2"/>
    </row>
    <row r="3" spans="1:20" ht="15.6" x14ac:dyDescent="0.3">
      <c r="A3" s="13" t="s">
        <v>70</v>
      </c>
      <c r="B3" s="10" t="str">
        <f>VLOOKUP(Table91719[[#This Row],[Indeks]],spisakStudenata[[Indeks]:[Prezime i ime (latinica)]],3,FALSE)</f>
        <v>Janevski Ivan</v>
      </c>
      <c r="C3" s="10">
        <f>IFERROR(10 * VLOOKUP(Table91719[[#This Row],[Indeks]],prviKolokvijum[[Indeks]:[K1]],13,FALSE),0)</f>
        <v>41.666666666666671</v>
      </c>
      <c r="D3" s="10">
        <f>IFERROR(VLOOKUP(Table91719[[#This Row],[Indeks]],drugiKolokvijum[[Indeks]:[Ukupno]],13,FALSE),0)*10</f>
        <v>29.700000000000003</v>
      </c>
      <c r="E3" s="10">
        <f>IFERROR(VLOOKUP(Table91719[[#This Row],[Indeks]],drugaLaboratorijskaVezba[],14,FALSE),0)</f>
        <v>0</v>
      </c>
      <c r="F3" s="10">
        <f>IFERROR(VLOOKUP(Table91719[[#This Row],[Indeks]],cetvrtaLaboratorijskaVezba[],14,FALSE),0)</f>
        <v>0</v>
      </c>
      <c r="G3" s="10">
        <f>IFERROR(VLOOKUP(Table91719[[#This Row],[Indeks]],dz[],4,FALSE),0)</f>
        <v>0</v>
      </c>
      <c r="H3" s="10">
        <f>IFERROR(VLOOKUP(Table91719[[#This Row],[Indeks]],dz[],5,FALSE),0)</f>
        <v>0</v>
      </c>
      <c r="I3" s="10">
        <f>(MAX(Table91719[[#This Row],[L2]],Table91719[[#This Row],[DZ1]])+MAX(Table91719[[#This Row],[L4]],Table91719[[#This Row],[DZ2]]))/2</f>
        <v>0</v>
      </c>
      <c r="J3" s="10">
        <f>(Table91719[[#This Row],[DZ1]]+Table91719[[#This Row],[DZ2]])/2</f>
        <v>0</v>
      </c>
      <c r="K3" s="10" cm="1">
        <f t="array" ref="K3">MAX((Table91719[[#This Row],[K1]]+Table91719[[#This Row],[K2]])/2,IFERROR(INDEX(ispit[Ukupno], MATCH(Table91719[[#This Row],[Indeks]]&amp;"1",ispit[Indeks]&amp;ispit[Rok],0)),0)*10)</f>
        <v>49</v>
      </c>
      <c r="L3" s="10" cm="1">
        <f t="array" ref="L3">IF(MAX(ROW(ispit[Indeks]) * (Table91719[[#This Row],[Indeks]]=ispit[Indeks]) * ($T$1&gt;=ispit[Rok])) &gt; 0,10 * INDEX(ispit[Ukupno],SUMPRODUCT(MAX(ROW(ispit[Indeks]) * (Table91719[[#This Row],[Indeks]]=ispit[Indeks]) * ($T$1&gt;=ispit[Rok])) - 1)),0)</f>
        <v>39.4</v>
      </c>
      <c r="M3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3" s="12">
        <f>IF(OR(Table91719[[#This Row],[DZ rok]]=$T$1,Table91719[[#This Row],[I rok]]=$T$1),MEDIAN(5,10,FLOOR((Table91719[[#This Row],[P]] + 9.99)/10,1)),3)</f>
        <v>3</v>
      </c>
      <c r="O3" s="10"/>
      <c r="P3" s="10" t="str">
        <f>IFERROR(VLOOKUP(Table91719[[#This Row],[Indeks]],dz[],3,FALSE),"")</f>
        <v/>
      </c>
      <c r="Q3" s="10" cm="1">
        <f t="array" ref="Q3">IF(MAX(ROW(ispit[Indeks]) * (Table91719[[#This Row],[Indeks]]=ispit[Indeks]) * ($T$1&gt;=ispit[Rok])) &gt; 0,INDEX(ispit[Rok],SUMPRODUCT(MAX(ROW(ispit[Indeks]) * (Table91719[[#This Row],[Indeks]]=ispit[Indeks]) * ($T$1&gt;=ispit[Rok])) - 1)),0)</f>
        <v>2</v>
      </c>
      <c r="R3" s="2"/>
    </row>
    <row r="4" spans="1:20" ht="15.6" x14ac:dyDescent="0.3">
      <c r="A4" s="13" t="s">
        <v>90</v>
      </c>
      <c r="B4" s="10" t="str">
        <f>VLOOKUP(Table91719[[#This Row],[Indeks]],spisakStudenata[[Indeks]:[Prezime i ime (latinica)]],3,FALSE)</f>
        <v>Radulović Vuk</v>
      </c>
      <c r="C4" s="10">
        <f>IFERROR(10 * VLOOKUP(Table91719[[#This Row],[Indeks]],prviKolokvijum[[Indeks]:[K1]],13,FALSE),0)</f>
        <v>0</v>
      </c>
      <c r="D4" s="10">
        <f>IFERROR(VLOOKUP(Table91719[[#This Row],[Indeks]],drugiKolokvijum[[Indeks]:[Ukupno]],13,FALSE),0)*10</f>
        <v>53.3</v>
      </c>
      <c r="E4" s="10">
        <f>IFERROR(VLOOKUP(Table91719[[#This Row],[Indeks]],drugaLaboratorijskaVezba[],14,FALSE),0)</f>
        <v>0</v>
      </c>
      <c r="F4" s="10">
        <f>IFERROR(VLOOKUP(Table91719[[#This Row],[Indeks]],cetvrtaLaboratorijskaVezba[],14,FALSE),0)</f>
        <v>0</v>
      </c>
      <c r="G4" s="10">
        <f>IFERROR(VLOOKUP(Table91719[[#This Row],[Indeks]],dz[],4,FALSE),0)</f>
        <v>100</v>
      </c>
      <c r="H4" s="10">
        <f>IFERROR(VLOOKUP(Table91719[[#This Row],[Indeks]],dz[],5,FALSE),0)</f>
        <v>100</v>
      </c>
      <c r="I4" s="10">
        <f>(MAX(Table91719[[#This Row],[L2]],Table91719[[#This Row],[DZ1]])+MAX(Table91719[[#This Row],[L4]],Table91719[[#This Row],[DZ2]]))/2</f>
        <v>100</v>
      </c>
      <c r="J4" s="10">
        <f>(Table91719[[#This Row],[DZ1]]+Table91719[[#This Row],[DZ2]])/2</f>
        <v>100</v>
      </c>
      <c r="K4" s="10" cm="1">
        <f t="array" ref="K4">MAX((Table91719[[#This Row],[K1]]+Table91719[[#This Row],[K2]])/2,IFERROR(INDEX(ispit[Ukupno], MATCH(Table91719[[#This Row],[Indeks]]&amp;"1",ispit[Indeks]&amp;ispit[Rok],0)),0)*10)</f>
        <v>26.65</v>
      </c>
      <c r="L4" s="10" cm="1">
        <f t="array" ref="L4">IF(MAX(ROW(ispit[Indeks]) * (Table91719[[#This Row],[Indeks]]=ispit[Indeks]) * ($T$1&gt;=ispit[Rok])) &gt; 0,10 * INDEX(ispit[Ukupno],SUMPRODUCT(MAX(ROW(ispit[Indeks]) * (Table91719[[#This Row],[Indeks]]=ispit[Indeks]) * ($T$1&gt;=ispit[Rok])) - 1)),0)</f>
        <v>65</v>
      </c>
      <c r="M4" s="10">
        <f>IF(AND(Table91719[[#This Row],[L]]&gt;=40,Table91719[[#This Row],[I]]&gt;=40),0.2*Table91719[[#This Row],[L]]+0.3*Table91719[[#This Row],[D]]+0.2*Table91719[[#This Row],[K]]+0.3*Table91719[[#This Row],[I]]+Table91719[[#This Row],[Dodato]],0)</f>
        <v>74.83</v>
      </c>
      <c r="N4" s="12">
        <f>IF(OR(Table91719[[#This Row],[DZ rok]]=$T$1,Table91719[[#This Row],[I rok]]=$T$1),MEDIAN(5,10,FLOOR((Table91719[[#This Row],[P]] + 9.99)/10,1)),3)</f>
        <v>8</v>
      </c>
      <c r="O4" s="10"/>
      <c r="P4" s="10">
        <f>IFERROR(VLOOKUP(Table91719[[#This Row],[Indeks]],dz[],3,FALSE),"")</f>
        <v>3</v>
      </c>
      <c r="Q4" s="10" cm="1">
        <f t="array" ref="Q4">IF(MAX(ROW(ispit[Indeks]) * (Table91719[[#This Row],[Indeks]]=ispit[Indeks]) * ($T$1&gt;=ispit[Rok])) &gt; 0,INDEX(ispit[Rok],SUMPRODUCT(MAX(ROW(ispit[Indeks]) * (Table91719[[#This Row],[Indeks]]=ispit[Indeks]) * ($T$1&gt;=ispit[Rok])) - 1)),0)</f>
        <v>3</v>
      </c>
      <c r="R4" s="2"/>
    </row>
    <row r="5" spans="1:20" ht="15.6" x14ac:dyDescent="0.3">
      <c r="A5" s="13" t="s">
        <v>68</v>
      </c>
      <c r="B5" s="10" t="str">
        <f>VLOOKUP(Table91719[[#This Row],[Indeks]],spisakStudenata[[Indeks]:[Prezime i ime (latinica)]],3,FALSE)</f>
        <v>Marjanović Ivana</v>
      </c>
      <c r="C5" s="10">
        <f>IFERROR(10 * VLOOKUP(Table91719[[#This Row],[Indeks]],prviKolokvijum[[Indeks]:[K1]],13,FALSE),0)</f>
        <v>0</v>
      </c>
      <c r="D5" s="10">
        <f>IFERROR(VLOOKUP(Table91719[[#This Row],[Indeks]],drugiKolokvijum[[Indeks]:[Ukupno]],13,FALSE),0)*10</f>
        <v>0</v>
      </c>
      <c r="E5" s="10">
        <f>IFERROR(VLOOKUP(Table91719[[#This Row],[Indeks]],drugaLaboratorijskaVezba[],14,FALSE),0)</f>
        <v>0</v>
      </c>
      <c r="F5" s="10">
        <f>IFERROR(VLOOKUP(Table91719[[#This Row],[Indeks]],cetvrtaLaboratorijskaVezba[],14,FALSE),0)</f>
        <v>0</v>
      </c>
      <c r="G5" s="10">
        <f>IFERROR(VLOOKUP(Table91719[[#This Row],[Indeks]],dz[],4,FALSE),0)</f>
        <v>0</v>
      </c>
      <c r="H5" s="10">
        <f>IFERROR(VLOOKUP(Table91719[[#This Row],[Indeks]],dz[],5,FALSE),0)</f>
        <v>0</v>
      </c>
      <c r="I5" s="10">
        <f>(MAX(Table91719[[#This Row],[L2]],Table91719[[#This Row],[DZ1]])+MAX(Table91719[[#This Row],[L4]],Table91719[[#This Row],[DZ2]]))/2</f>
        <v>0</v>
      </c>
      <c r="J5" s="10">
        <f>(Table91719[[#This Row],[DZ1]]+Table91719[[#This Row],[DZ2]])/2</f>
        <v>0</v>
      </c>
      <c r="K5" s="10" cm="1">
        <f t="array" ref="K5">MAX((Table91719[[#This Row],[K1]]+Table91719[[#This Row],[K2]])/2,IFERROR(INDEX(ispit[Ukupno], MATCH(Table91719[[#This Row],[Indeks]]&amp;"1",ispit[Indeks]&amp;ispit[Rok],0)),0)*10)</f>
        <v>29.5</v>
      </c>
      <c r="L5" s="10" cm="1">
        <f t="array" ref="L5">IF(MAX(ROW(ispit[Indeks]) * (Table91719[[#This Row],[Indeks]]=ispit[Indeks]) * ($T$1&gt;=ispit[Rok])) &gt; 0,10 * INDEX(ispit[Ukupno],SUMPRODUCT(MAX(ROW(ispit[Indeks]) * (Table91719[[#This Row],[Indeks]]=ispit[Indeks]) * ($T$1&gt;=ispit[Rok])) - 1)),0)</f>
        <v>17.7</v>
      </c>
      <c r="M5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5" s="12">
        <f>IF(OR(Table91719[[#This Row],[DZ rok]]=$T$1,Table91719[[#This Row],[I rok]]=$T$1),MEDIAN(5,10,FLOOR((Table91719[[#This Row],[P]] + 9.99)/10,1)),3)</f>
        <v>3</v>
      </c>
      <c r="O5" s="10"/>
      <c r="P5" s="10" t="str">
        <f>IFERROR(VLOOKUP(Table91719[[#This Row],[Indeks]],dz[],3,FALSE),"")</f>
        <v/>
      </c>
      <c r="Q5" s="10" cm="1">
        <f t="array" ref="Q5">IF(MAX(ROW(ispit[Indeks]) * (Table91719[[#This Row],[Indeks]]=ispit[Indeks]) * ($T$1&gt;=ispit[Rok])) &gt; 0,INDEX(ispit[Rok],SUMPRODUCT(MAX(ROW(ispit[Indeks]) * (Table91719[[#This Row],[Indeks]]=ispit[Indeks]) * ($T$1&gt;=ispit[Rok])) - 1)),0)</f>
        <v>2</v>
      </c>
      <c r="R5" s="2"/>
      <c r="S5" s="1" t="s">
        <v>27</v>
      </c>
      <c r="T5" s="1" t="s">
        <v>26</v>
      </c>
    </row>
    <row r="6" spans="1:20" ht="15.6" x14ac:dyDescent="0.3">
      <c r="A6" s="13" t="s">
        <v>106</v>
      </c>
      <c r="B6" s="10" t="str">
        <f>VLOOKUP(Table91719[[#This Row],[Indeks]],spisakStudenata[[Indeks]:[Prezime i ime (latinica)]],3,FALSE)</f>
        <v>Jovanović Maja</v>
      </c>
      <c r="C6" s="10">
        <f>IFERROR(10 * VLOOKUP(Table91719[[#This Row],[Indeks]],prviKolokvijum[[Indeks]:[K1]],13,FALSE),0)</f>
        <v>0</v>
      </c>
      <c r="D6" s="10">
        <f>IFERROR(VLOOKUP(Table91719[[#This Row],[Indeks]],drugiKolokvijum[[Indeks]:[Ukupno]],13,FALSE),0)*10</f>
        <v>0</v>
      </c>
      <c r="E6" s="10">
        <f>IFERROR(VLOOKUP(Table91719[[#This Row],[Indeks]],drugaLaboratorijskaVezba[],14,FALSE),0)</f>
        <v>0</v>
      </c>
      <c r="F6" s="10">
        <f>IFERROR(VLOOKUP(Table91719[[#This Row],[Indeks]],cetvrtaLaboratorijskaVezba[],14,FALSE),0)</f>
        <v>0</v>
      </c>
      <c r="G6" s="10">
        <f>IFERROR(VLOOKUP(Table91719[[#This Row],[Indeks]],dz[],4,FALSE),0)</f>
        <v>0</v>
      </c>
      <c r="H6" s="10">
        <f>IFERROR(VLOOKUP(Table91719[[#This Row],[Indeks]],dz[],5,FALSE),0)</f>
        <v>0</v>
      </c>
      <c r="I6" s="10">
        <f>(MAX(Table91719[[#This Row],[L2]],Table91719[[#This Row],[DZ1]])+MAX(Table91719[[#This Row],[L4]],Table91719[[#This Row],[DZ2]]))/2</f>
        <v>0</v>
      </c>
      <c r="J6" s="10">
        <f>(Table91719[[#This Row],[DZ1]]+Table91719[[#This Row],[DZ2]])/2</f>
        <v>0</v>
      </c>
      <c r="K6" s="10" cm="1">
        <f t="array" ref="K6">MAX((Table91719[[#This Row],[K1]]+Table91719[[#This Row],[K2]])/2,IFERROR(INDEX(ispit[Ukupno], MATCH(Table91719[[#This Row],[Indeks]]&amp;"1",ispit[Indeks]&amp;ispit[Rok],0)),0)*10)</f>
        <v>57.5</v>
      </c>
      <c r="L6" s="10" cm="1">
        <f t="array" ref="L6">IF(MAX(ROW(ispit[Indeks]) * (Table91719[[#This Row],[Indeks]]=ispit[Indeks]) * ($T$1&gt;=ispit[Rok])) &gt; 0,10 * INDEX(ispit[Ukupno],SUMPRODUCT(MAX(ROW(ispit[Indeks]) * (Table91719[[#This Row],[Indeks]]=ispit[Indeks]) * ($T$1&gt;=ispit[Rok])) - 1)),0)</f>
        <v>57.5</v>
      </c>
      <c r="M6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6" s="12">
        <f>IF(OR(Table91719[[#This Row],[DZ rok]]=$T$1,Table91719[[#This Row],[I rok]]=$T$1),MEDIAN(5,10,FLOOR((Table91719[[#This Row],[P]] + 9.99)/10,1)),3)</f>
        <v>3</v>
      </c>
      <c r="O6" s="10"/>
      <c r="P6" s="10" t="str">
        <f>IFERROR(VLOOKUP(Table91719[[#This Row],[Indeks]],dz[],3,FALSE),"")</f>
        <v/>
      </c>
      <c r="Q6" s="10" cm="1">
        <f t="array" ref="Q6">IF(MAX(ROW(ispit[Indeks]) * (Table91719[[#This Row],[Indeks]]=ispit[Indeks]) * ($T$1&gt;=ispit[Rok])) &gt; 0,INDEX(ispit[Rok],SUMPRODUCT(MAX(ROW(ispit[Indeks]) * (Table91719[[#This Row],[Indeks]]=ispit[Indeks]) * ($T$1&gt;=ispit[Rok])) - 1)),0)</f>
        <v>1</v>
      </c>
      <c r="R6" s="2"/>
      <c r="S6" s="1">
        <v>5</v>
      </c>
      <c r="T6" s="1">
        <f>COUNTIF(Table91719[Ocena],Table111820[[#This Row],[Ocena]])</f>
        <v>1</v>
      </c>
    </row>
    <row r="7" spans="1:20" ht="15.6" x14ac:dyDescent="0.3">
      <c r="A7" s="13" t="s">
        <v>98</v>
      </c>
      <c r="B7" s="10" t="str">
        <f>VLOOKUP(Table91719[[#This Row],[Indeks]],spisakStudenata[[Indeks]:[Prezime i ime (latinica)]],3,FALSE)</f>
        <v>Kovačević Miloš</v>
      </c>
      <c r="C7" s="10">
        <f>IFERROR(10 * VLOOKUP(Table91719[[#This Row],[Indeks]],prviKolokvijum[[Indeks]:[K1]],13,FALSE),0)</f>
        <v>96.333333333333329</v>
      </c>
      <c r="D7" s="10">
        <f>IFERROR(VLOOKUP(Table91719[[#This Row],[Indeks]],drugiKolokvijum[[Indeks]:[Ukupno]],13,FALSE),0)*10</f>
        <v>57.800000000000004</v>
      </c>
      <c r="E7" s="10">
        <f>IFERROR(VLOOKUP(Table91719[[#This Row],[Indeks]],drugaLaboratorijskaVezba[],14,FALSE),0)</f>
        <v>0</v>
      </c>
      <c r="F7" s="10">
        <f>IFERROR(VLOOKUP(Table91719[[#This Row],[Indeks]],cetvrtaLaboratorijskaVezba[],14,FALSE),0)</f>
        <v>0</v>
      </c>
      <c r="G7" s="10">
        <f>IFERROR(VLOOKUP(Table91719[[#This Row],[Indeks]],dz[],4,FALSE),0)</f>
        <v>100</v>
      </c>
      <c r="H7" s="10">
        <f>IFERROR(VLOOKUP(Table91719[[#This Row],[Indeks]],dz[],5,FALSE),0)</f>
        <v>100</v>
      </c>
      <c r="I7" s="10">
        <f>(MAX(Table91719[[#This Row],[L2]],Table91719[[#This Row],[DZ1]])+MAX(Table91719[[#This Row],[L4]],Table91719[[#This Row],[DZ2]]))/2</f>
        <v>100</v>
      </c>
      <c r="J7" s="10">
        <f>(Table91719[[#This Row],[DZ1]]+Table91719[[#This Row],[DZ2]])/2</f>
        <v>100</v>
      </c>
      <c r="K7" s="10" cm="1">
        <f t="array" ref="K7">MAX((Table91719[[#This Row],[K1]]+Table91719[[#This Row],[K2]])/2,IFERROR(INDEX(ispit[Ukupno], MATCH(Table91719[[#This Row],[Indeks]]&amp;"1",ispit[Indeks]&amp;ispit[Rok],0)),0)*10)</f>
        <v>77.066666666666663</v>
      </c>
      <c r="L7" s="10" cm="1">
        <f t="array" ref="L7">IF(MAX(ROW(ispit[Indeks]) * (Table91719[[#This Row],[Indeks]]=ispit[Indeks]) * ($T$1&gt;=ispit[Rok])) &gt; 0,10 * INDEX(ispit[Ukupno],SUMPRODUCT(MAX(ROW(ispit[Indeks]) * (Table91719[[#This Row],[Indeks]]=ispit[Indeks]) * ($T$1&gt;=ispit[Rok])) - 1)),0)</f>
        <v>58.3</v>
      </c>
      <c r="M7" s="10">
        <f>IF(AND(Table91719[[#This Row],[L]]&gt;=40,Table91719[[#This Row],[I]]&gt;=40),0.2*Table91719[[#This Row],[L]]+0.3*Table91719[[#This Row],[D]]+0.2*Table91719[[#This Row],[K]]+0.3*Table91719[[#This Row],[I]]+Table91719[[#This Row],[Dodato]],0)</f>
        <v>82.903333333333322</v>
      </c>
      <c r="N7" s="12">
        <f>IF(OR(Table91719[[#This Row],[DZ rok]]=$T$1,Table91719[[#This Row],[I rok]]=$T$1),MEDIAN(5,10,FLOOR((Table91719[[#This Row],[P]] + 9.99)/10,1)),3)</f>
        <v>9</v>
      </c>
      <c r="O7" s="10"/>
      <c r="P7" s="10">
        <f>IFERROR(VLOOKUP(Table91719[[#This Row],[Indeks]],dz[],3,FALSE),"")</f>
        <v>3</v>
      </c>
      <c r="Q7" s="10" cm="1">
        <f t="array" ref="Q7">IF(MAX(ROW(ispit[Indeks]) * (Table91719[[#This Row],[Indeks]]=ispit[Indeks]) * ($T$1&gt;=ispit[Rok])) &gt; 0,INDEX(ispit[Rok],SUMPRODUCT(MAX(ROW(ispit[Indeks]) * (Table91719[[#This Row],[Indeks]]=ispit[Indeks]) * ($T$1&gt;=ispit[Rok])) - 1)),0)</f>
        <v>1</v>
      </c>
      <c r="R7" s="2"/>
      <c r="S7" s="1">
        <v>6</v>
      </c>
      <c r="T7" s="1">
        <f>COUNTIF(Table91719[Ocena],Table111820[[#This Row],[Ocena]])</f>
        <v>0</v>
      </c>
    </row>
    <row r="8" spans="1:20" ht="15.6" x14ac:dyDescent="0.3">
      <c r="A8" s="13" t="s">
        <v>102</v>
      </c>
      <c r="B8" s="10" t="str">
        <f>VLOOKUP(Table91719[[#This Row],[Indeks]],spisakStudenata[[Indeks]:[Prezime i ime (latinica)]],3,FALSE)</f>
        <v>Vojinović Marko</v>
      </c>
      <c r="C8" s="10">
        <f>IFERROR(10 * VLOOKUP(Table91719[[#This Row],[Indeks]],prviKolokvijum[[Indeks]:[K1]],13,FALSE),0)</f>
        <v>63.000000000000007</v>
      </c>
      <c r="D8" s="10">
        <f>IFERROR(VLOOKUP(Table91719[[#This Row],[Indeks]],drugiKolokvijum[[Indeks]:[Ukupno]],13,FALSE),0)*10</f>
        <v>30.1</v>
      </c>
      <c r="E8" s="10">
        <f>IFERROR(VLOOKUP(Table91719[[#This Row],[Indeks]],drugaLaboratorijskaVezba[],14,FALSE),0)</f>
        <v>0</v>
      </c>
      <c r="F8" s="10">
        <f>IFERROR(VLOOKUP(Table91719[[#This Row],[Indeks]],cetvrtaLaboratorijskaVezba[],14,FALSE),0)</f>
        <v>0</v>
      </c>
      <c r="G8" s="10">
        <f>IFERROR(VLOOKUP(Table91719[[#This Row],[Indeks]],dz[],4,FALSE),0)</f>
        <v>90</v>
      </c>
      <c r="H8" s="10">
        <f>IFERROR(VLOOKUP(Table91719[[#This Row],[Indeks]],dz[],5,FALSE),0)</f>
        <v>80</v>
      </c>
      <c r="I8" s="10">
        <f>(MAX(Table91719[[#This Row],[L2]],Table91719[[#This Row],[DZ1]])+MAX(Table91719[[#This Row],[L4]],Table91719[[#This Row],[DZ2]]))/2</f>
        <v>85</v>
      </c>
      <c r="J8" s="10">
        <f>(Table91719[[#This Row],[DZ1]]+Table91719[[#This Row],[DZ2]])/2</f>
        <v>85</v>
      </c>
      <c r="K8" s="10" cm="1">
        <f t="array" ref="K8">MAX((Table91719[[#This Row],[K1]]+Table91719[[#This Row],[K2]])/2,IFERROR(INDEX(ispit[Ukupno], MATCH(Table91719[[#This Row],[Indeks]]&amp;"1",ispit[Indeks]&amp;ispit[Rok],0)),0)*10)</f>
        <v>46.550000000000004</v>
      </c>
      <c r="L8" s="10" cm="1">
        <f t="array" ref="L8">IF(MAX(ROW(ispit[Indeks]) * (Table91719[[#This Row],[Indeks]]=ispit[Indeks]) * ($T$1&gt;=ispit[Rok])) &gt; 0,10 * INDEX(ispit[Ukupno],SUMPRODUCT(MAX(ROW(ispit[Indeks]) * (Table91719[[#This Row],[Indeks]]=ispit[Indeks]) * ($T$1&gt;=ispit[Rok])) - 1)),0)</f>
        <v>40.099999999999994</v>
      </c>
      <c r="M8" s="10">
        <f>IF(AND(Table91719[[#This Row],[L]]&gt;=40,Table91719[[#This Row],[I]]&gt;=40),0.2*Table91719[[#This Row],[L]]+0.3*Table91719[[#This Row],[D]]+0.2*Table91719[[#This Row],[K]]+0.3*Table91719[[#This Row],[I]]+Table91719[[#This Row],[Dodato]],0)</f>
        <v>63.84</v>
      </c>
      <c r="N8" s="12">
        <f>IF(OR(Table91719[[#This Row],[DZ rok]]=$T$1,Table91719[[#This Row],[I rok]]=$T$1),MEDIAN(5,10,FLOOR((Table91719[[#This Row],[P]] + 9.99)/10,1)),3)</f>
        <v>7</v>
      </c>
      <c r="O8" s="10"/>
      <c r="P8" s="10">
        <f>IFERROR(VLOOKUP(Table91719[[#This Row],[Indeks]],dz[],3,FALSE),"")</f>
        <v>3</v>
      </c>
      <c r="Q8" s="10" cm="1">
        <f t="array" ref="Q8">IF(MAX(ROW(ispit[Indeks]) * (Table91719[[#This Row],[Indeks]]=ispit[Indeks]) * ($T$1&gt;=ispit[Rok])) &gt; 0,INDEX(ispit[Rok],SUMPRODUCT(MAX(ROW(ispit[Indeks]) * (Table91719[[#This Row],[Indeks]]=ispit[Indeks]) * ($T$1&gt;=ispit[Rok])) - 1)),0)</f>
        <v>1</v>
      </c>
      <c r="R8" s="2"/>
      <c r="S8" s="1">
        <v>7</v>
      </c>
      <c r="T8" s="1">
        <f>COUNTIF(Table91719[Ocena],Table111820[[#This Row],[Ocena]])</f>
        <v>1</v>
      </c>
    </row>
    <row r="9" spans="1:20" ht="15.6" x14ac:dyDescent="0.3">
      <c r="A9" s="13" t="s">
        <v>110</v>
      </c>
      <c r="B9" s="10" t="str">
        <f>VLOOKUP(Table91719[[#This Row],[Indeks]],spisakStudenata[[Indeks]:[Prezime i ime (latinica)]],3,FALSE)</f>
        <v>Mandušić Danilo</v>
      </c>
      <c r="C9" s="10">
        <f>IFERROR(10 * VLOOKUP(Table91719[[#This Row],[Indeks]],prviKolokvijum[[Indeks]:[K1]],13,FALSE),0)</f>
        <v>42.555555555555557</v>
      </c>
      <c r="D9" s="10">
        <f>IFERROR(VLOOKUP(Table91719[[#This Row],[Indeks]],drugiKolokvijum[[Indeks]:[Ukupno]],13,FALSE),0)*10</f>
        <v>18.599999999999998</v>
      </c>
      <c r="E9" s="10">
        <f>IFERROR(VLOOKUP(Table91719[[#This Row],[Indeks]],drugaLaboratorijskaVezba[],14,FALSE),0)</f>
        <v>0</v>
      </c>
      <c r="F9" s="10">
        <f>IFERROR(VLOOKUP(Table91719[[#This Row],[Indeks]],cetvrtaLaboratorijskaVezba[],14,FALSE),0)</f>
        <v>0</v>
      </c>
      <c r="G9" s="10">
        <f>IFERROR(VLOOKUP(Table91719[[#This Row],[Indeks]],dz[],4,FALSE),0)</f>
        <v>70</v>
      </c>
      <c r="H9" s="10">
        <f>IFERROR(VLOOKUP(Table91719[[#This Row],[Indeks]],dz[],5,FALSE),0)</f>
        <v>90</v>
      </c>
      <c r="I9" s="10">
        <f>(MAX(Table91719[[#This Row],[L2]],Table91719[[#This Row],[DZ1]])+MAX(Table91719[[#This Row],[L4]],Table91719[[#This Row],[DZ2]]))/2</f>
        <v>80</v>
      </c>
      <c r="J9" s="10">
        <f>(Table91719[[#This Row],[DZ1]]+Table91719[[#This Row],[DZ2]])/2</f>
        <v>80</v>
      </c>
      <c r="K9" s="10" cm="1">
        <f t="array" ref="K9">MAX((Table91719[[#This Row],[K1]]+Table91719[[#This Row],[K2]])/2,IFERROR(INDEX(ispit[Ukupno], MATCH(Table91719[[#This Row],[Indeks]]&amp;"1",ispit[Indeks]&amp;ispit[Rok],0)),0)*10)</f>
        <v>30.577777777777776</v>
      </c>
      <c r="L9" s="10" cm="1">
        <f t="array" ref="L9">IF(MAX(ROW(ispit[Indeks]) * (Table91719[[#This Row],[Indeks]]=ispit[Indeks]) * ($T$1&gt;=ispit[Rok])) &gt; 0,10 * INDEX(ispit[Ukupno],SUMPRODUCT(MAX(ROW(ispit[Indeks]) * (Table91719[[#This Row],[Indeks]]=ispit[Indeks]) * ($T$1&gt;=ispit[Rok])) - 1)),0)</f>
        <v>27.5</v>
      </c>
      <c r="M9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9" s="12">
        <f>IF(OR(Table91719[[#This Row],[DZ rok]]=$T$1,Table91719[[#This Row],[I rok]]=$T$1),MEDIAN(5,10,FLOOR((Table91719[[#This Row],[P]] + 9.99)/10,1)),3)</f>
        <v>5</v>
      </c>
      <c r="O9" s="10"/>
      <c r="P9" s="10">
        <f>IFERROR(VLOOKUP(Table91719[[#This Row],[Indeks]],dz[],3,FALSE),"")</f>
        <v>3</v>
      </c>
      <c r="Q9" s="10" cm="1">
        <f t="array" ref="Q9">IF(MAX(ROW(ispit[Indeks]) * (Table91719[[#This Row],[Indeks]]=ispit[Indeks]) * ($T$1&gt;=ispit[Rok])) &gt; 0,INDEX(ispit[Rok],SUMPRODUCT(MAX(ROW(ispit[Indeks]) * (Table91719[[#This Row],[Indeks]]=ispit[Indeks]) * ($T$1&gt;=ispit[Rok])) - 1)),0)</f>
        <v>3</v>
      </c>
      <c r="R9" s="2"/>
      <c r="S9" s="1">
        <v>8</v>
      </c>
      <c r="T9" s="1">
        <f>COUNTIF(Table91719[Ocena],Table111820[[#This Row],[Ocena]])</f>
        <v>1</v>
      </c>
    </row>
    <row r="10" spans="1:20" ht="15.6" x14ac:dyDescent="0.3">
      <c r="A10" s="13" t="s">
        <v>112</v>
      </c>
      <c r="B10" s="10" t="str">
        <f>VLOOKUP(Table91719[[#This Row],[Indeks]],spisakStudenata[[Indeks]:[Prezime i ime (latinica)]],3,FALSE)</f>
        <v>Dragutinović Marko</v>
      </c>
      <c r="C10" s="10">
        <f>IFERROR(10 * VLOOKUP(Table91719[[#This Row],[Indeks]],prviKolokvijum[[Indeks]:[K1]],13,FALSE),0)</f>
        <v>52.777777777777779</v>
      </c>
      <c r="D10" s="10">
        <f>IFERROR(VLOOKUP(Table91719[[#This Row],[Indeks]],drugiKolokvijum[[Indeks]:[Ukupno]],13,FALSE),0)*10</f>
        <v>0</v>
      </c>
      <c r="E10" s="10">
        <f>IFERROR(VLOOKUP(Table91719[[#This Row],[Indeks]],drugaLaboratorijskaVezba[],14,FALSE),0)</f>
        <v>0</v>
      </c>
      <c r="F10" s="10">
        <f>IFERROR(VLOOKUP(Table91719[[#This Row],[Indeks]],cetvrtaLaboratorijskaVezba[],14,FALSE),0)</f>
        <v>0</v>
      </c>
      <c r="G10" s="10">
        <f>IFERROR(VLOOKUP(Table91719[[#This Row],[Indeks]],dz[],4,FALSE),0)</f>
        <v>0</v>
      </c>
      <c r="H10" s="10">
        <f>IFERROR(VLOOKUP(Table91719[[#This Row],[Indeks]],dz[],5,FALSE),0)</f>
        <v>0</v>
      </c>
      <c r="I10" s="10">
        <f>(MAX(Table91719[[#This Row],[L2]],Table91719[[#This Row],[DZ1]])+MAX(Table91719[[#This Row],[L4]],Table91719[[#This Row],[DZ2]]))/2</f>
        <v>0</v>
      </c>
      <c r="J10" s="10">
        <f>(Table91719[[#This Row],[DZ1]]+Table91719[[#This Row],[DZ2]])/2</f>
        <v>0</v>
      </c>
      <c r="K10" s="10" cm="1">
        <f t="array" ref="K10">MAX((Table91719[[#This Row],[K1]]+Table91719[[#This Row],[K2]])/2,IFERROR(INDEX(ispit[Ukupno], MATCH(Table91719[[#This Row],[Indeks]]&amp;"1",ispit[Indeks]&amp;ispit[Rok],0)),0)*10)</f>
        <v>26.388888888888889</v>
      </c>
      <c r="L10" s="10" cm="1">
        <f t="array" ref="L10">IF(MAX(ROW(ispit[Indeks]) * (Table91719[[#This Row],[Indeks]]=ispit[Indeks]) * ($T$1&gt;=ispit[Rok])) &gt; 0,10 * INDEX(ispit[Ukupno],SUMPRODUCT(MAX(ROW(ispit[Indeks]) * (Table91719[[#This Row],[Indeks]]=ispit[Indeks]) * ($T$1&gt;=ispit[Rok])) - 1)),0)</f>
        <v>42.699999999999996</v>
      </c>
      <c r="M10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10" s="12">
        <f>IF(OR(Table91719[[#This Row],[DZ rok]]=$T$1,Table91719[[#This Row],[I rok]]=$T$1),MEDIAN(5,10,FLOOR((Table91719[[#This Row],[P]] + 9.99)/10,1)),3)</f>
        <v>3</v>
      </c>
      <c r="O10" s="10"/>
      <c r="P10" s="10" t="str">
        <f>IFERROR(VLOOKUP(Table91719[[#This Row],[Indeks]],dz[],3,FALSE),"")</f>
        <v/>
      </c>
      <c r="Q10" s="10" cm="1">
        <f t="array" ref="Q10">IF(MAX(ROW(ispit[Indeks]) * (Table91719[[#This Row],[Indeks]]=ispit[Indeks]) * ($T$1&gt;=ispit[Rok])) &gt; 0,INDEX(ispit[Rok],SUMPRODUCT(MAX(ROW(ispit[Indeks]) * (Table91719[[#This Row],[Indeks]]=ispit[Indeks]) * ($T$1&gt;=ispit[Rok])) - 1)),0)</f>
        <v>2</v>
      </c>
      <c r="R10" s="2"/>
      <c r="S10" s="1">
        <v>9</v>
      </c>
      <c r="T10" s="1">
        <f>COUNTIF(Table91719[Ocena],Table111820[[#This Row],[Ocena]])</f>
        <v>1</v>
      </c>
    </row>
    <row r="11" spans="1:20" ht="15.6" x14ac:dyDescent="0.3">
      <c r="A11" s="13" t="s">
        <v>116</v>
      </c>
      <c r="B11" s="10" t="str">
        <f>VLOOKUP(Table91719[[#This Row],[Indeks]],spisakStudenata[[Indeks]:[Prezime i ime (latinica)]],3,FALSE)</f>
        <v>Perić Dragan</v>
      </c>
      <c r="C11" s="10">
        <f>IFERROR(10 * VLOOKUP(Table91719[[#This Row],[Indeks]],prviKolokvijum[[Indeks]:[K1]],13,FALSE),0)</f>
        <v>100</v>
      </c>
      <c r="D11" s="10">
        <f>IFERROR(VLOOKUP(Table91719[[#This Row],[Indeks]],drugiKolokvijum[[Indeks]:[Ukupno]],13,FALSE),0)*10</f>
        <v>75.8</v>
      </c>
      <c r="E11" s="10">
        <f>IFERROR(VLOOKUP(Table91719[[#This Row],[Indeks]],drugaLaboratorijskaVezba[],14,FALSE),0)</f>
        <v>10</v>
      </c>
      <c r="F11" s="10">
        <f>IFERROR(VLOOKUP(Table91719[[#This Row],[Indeks]],cetvrtaLaboratorijskaVezba[],14,FALSE),0)</f>
        <v>65</v>
      </c>
      <c r="G11" s="10">
        <f>IFERROR(VLOOKUP(Table91719[[#This Row],[Indeks]],dz[],4,FALSE),0)</f>
        <v>0</v>
      </c>
      <c r="H11" s="10">
        <f>IFERROR(VLOOKUP(Table91719[[#This Row],[Indeks]],dz[],5,FALSE),0)</f>
        <v>0</v>
      </c>
      <c r="I11" s="10">
        <f>(MAX(Table91719[[#This Row],[L2]],Table91719[[#This Row],[DZ1]])+MAX(Table91719[[#This Row],[L4]],Table91719[[#This Row],[DZ2]]))/2</f>
        <v>37.5</v>
      </c>
      <c r="J11" s="10">
        <f>(Table91719[[#This Row],[DZ1]]+Table91719[[#This Row],[DZ2]])/2</f>
        <v>0</v>
      </c>
      <c r="K11" s="10" cm="1">
        <f t="array" ref="K11">MAX((Table91719[[#This Row],[K1]]+Table91719[[#This Row],[K2]])/2,IFERROR(INDEX(ispit[Ukupno], MATCH(Table91719[[#This Row],[Indeks]]&amp;"1",ispit[Indeks]&amp;ispit[Rok],0)),0)*10)</f>
        <v>87.9</v>
      </c>
      <c r="L11" s="10" cm="1">
        <f t="array" ref="L11">IF(MAX(ROW(ispit[Indeks]) * (Table91719[[#This Row],[Indeks]]=ispit[Indeks]) * ($T$1&gt;=ispit[Rok])) &gt; 0,10 * INDEX(ispit[Ukupno],SUMPRODUCT(MAX(ROW(ispit[Indeks]) * (Table91719[[#This Row],[Indeks]]=ispit[Indeks]) * ($T$1&gt;=ispit[Rok])) - 1)),0)</f>
        <v>71.7</v>
      </c>
      <c r="M11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11" s="12">
        <f>IF(OR(Table91719[[#This Row],[DZ rok]]=$T$1,Table91719[[#This Row],[I rok]]=$T$1),MEDIAN(5,10,FLOOR((Table91719[[#This Row],[P]] + 9.99)/10,1)),3)</f>
        <v>3</v>
      </c>
      <c r="O11" s="10"/>
      <c r="P11" s="10" t="str">
        <f>IFERROR(VLOOKUP(Table91719[[#This Row],[Indeks]],dz[],3,FALSE),"")</f>
        <v/>
      </c>
      <c r="Q11" s="10" cm="1">
        <f t="array" ref="Q11">IF(MAX(ROW(ispit[Indeks]) * (Table91719[[#This Row],[Indeks]]=ispit[Indeks]) * ($T$1&gt;=ispit[Rok])) &gt; 0,INDEX(ispit[Rok],SUMPRODUCT(MAX(ROW(ispit[Indeks]) * (Table91719[[#This Row],[Indeks]]=ispit[Indeks]) * ($T$1&gt;=ispit[Rok])) - 1)),0)</f>
        <v>1</v>
      </c>
      <c r="R11" s="2"/>
      <c r="S11" s="1">
        <v>10</v>
      </c>
      <c r="T11" s="1">
        <f>COUNTIF(Table91719[Ocena],Table111820[[#This Row],[Ocena]])</f>
        <v>0</v>
      </c>
    </row>
    <row r="12" spans="1:20" ht="15.6" x14ac:dyDescent="0.3">
      <c r="A12" s="13" t="s">
        <v>118</v>
      </c>
      <c r="B12" s="10" t="str">
        <f>VLOOKUP(Table91719[[#This Row],[Indeks]],spisakStudenata[[Indeks]:[Prezime i ime (latinica)]],3,FALSE)</f>
        <v>Samardžić Lea</v>
      </c>
      <c r="C12" s="10">
        <f>IFERROR(10 * VLOOKUP(Table91719[[#This Row],[Indeks]],prviKolokvijum[[Indeks]:[K1]],13,FALSE),0)</f>
        <v>72.222222222222229</v>
      </c>
      <c r="D12" s="10">
        <f>IFERROR(VLOOKUP(Table91719[[#This Row],[Indeks]],drugiKolokvijum[[Indeks]:[Ukupno]],13,FALSE),0)*10</f>
        <v>80</v>
      </c>
      <c r="E12" s="10">
        <f>IFERROR(VLOOKUP(Table91719[[#This Row],[Indeks]],drugaLaboratorijskaVezba[],14,FALSE),0)</f>
        <v>5</v>
      </c>
      <c r="F12" s="10">
        <f>IFERROR(VLOOKUP(Table91719[[#This Row],[Indeks]],cetvrtaLaboratorijskaVezba[],14,FALSE),0)</f>
        <v>0</v>
      </c>
      <c r="G12" s="10">
        <f>IFERROR(VLOOKUP(Table91719[[#This Row],[Indeks]],dz[],4,FALSE),0)</f>
        <v>100</v>
      </c>
      <c r="H12" s="10">
        <f>IFERROR(VLOOKUP(Table91719[[#This Row],[Indeks]],dz[],5,FALSE),0)</f>
        <v>100</v>
      </c>
      <c r="I12" s="10">
        <f>(MAX(Table91719[[#This Row],[L2]],Table91719[[#This Row],[DZ1]])+MAX(Table91719[[#This Row],[L4]],Table91719[[#This Row],[DZ2]]))/2</f>
        <v>100</v>
      </c>
      <c r="J12" s="10">
        <f>(Table91719[[#This Row],[DZ1]]+Table91719[[#This Row],[DZ2]])/2</f>
        <v>100</v>
      </c>
      <c r="K12" s="10" cm="1">
        <f t="array" ref="K12">MAX((Table91719[[#This Row],[K1]]+Table91719[[#This Row],[K2]])/2,IFERROR(INDEX(ispit[Ukupno], MATCH(Table91719[[#This Row],[Indeks]]&amp;"1",ispit[Indeks]&amp;ispit[Rok],0)),0)*10)</f>
        <v>76.111111111111114</v>
      </c>
      <c r="L12" s="10" cm="1">
        <f t="array" ref="L12">IF(MAX(ROW(ispit[Indeks]) * (Table91719[[#This Row],[Indeks]]=ispit[Indeks]) * ($T$1&gt;=ispit[Rok])) &gt; 0,10 * INDEX(ispit[Ukupno],SUMPRODUCT(MAX(ROW(ispit[Indeks]) * (Table91719[[#This Row],[Indeks]]=ispit[Indeks]) * ($T$1&gt;=ispit[Rok])) - 1)),0)</f>
        <v>50.8</v>
      </c>
      <c r="M12" s="10">
        <f>IF(AND(Table91719[[#This Row],[L]]&gt;=40,Table91719[[#This Row],[I]]&gt;=40),0.2*Table91719[[#This Row],[L]]+0.3*Table91719[[#This Row],[D]]+0.2*Table91719[[#This Row],[K]]+0.3*Table91719[[#This Row],[I]]+Table91719[[#This Row],[Dodato]],0)</f>
        <v>80.462222222222223</v>
      </c>
      <c r="N12" s="12">
        <f>IF(OR(Table91719[[#This Row],[DZ rok]]=$T$1,Table91719[[#This Row],[I rok]]=$T$1),MEDIAN(5,10,FLOOR((Table91719[[#This Row],[P]] + 9.99)/10,1)),3)</f>
        <v>3</v>
      </c>
      <c r="O12" s="10"/>
      <c r="P12" s="10">
        <f>IFERROR(VLOOKUP(Table91719[[#This Row],[Indeks]],dz[],3,FALSE),"")</f>
        <v>4</v>
      </c>
      <c r="Q12" s="10" cm="1">
        <f t="array" ref="Q12">IF(MAX(ROW(ispit[Indeks]) * (Table91719[[#This Row],[Indeks]]=ispit[Indeks]) * ($T$1&gt;=ispit[Rok])) &gt; 0,INDEX(ispit[Rok],SUMPRODUCT(MAX(ROW(ispit[Indeks]) * (Table91719[[#This Row],[Indeks]]=ispit[Indeks]) * ($T$1&gt;=ispit[Rok])) - 1)),0)</f>
        <v>1</v>
      </c>
      <c r="R12" s="2"/>
      <c r="S12" s="1"/>
    </row>
    <row r="13" spans="1:20" ht="15.6" x14ac:dyDescent="0.3">
      <c r="A13" s="13" t="s">
        <v>120</v>
      </c>
      <c r="B13" s="10" t="str">
        <f>VLOOKUP(Table91719[[#This Row],[Indeks]],spisakStudenata[[Indeks]:[Prezime i ime (latinica)]],3,FALSE)</f>
        <v>Majstorović Ljubica</v>
      </c>
      <c r="C13" s="10">
        <f>IFERROR(10 * VLOOKUP(Table91719[[#This Row],[Indeks]],prviKolokvijum[[Indeks]:[K1]],13,FALSE),0)</f>
        <v>88.888888888888886</v>
      </c>
      <c r="D13" s="10">
        <f>IFERROR(VLOOKUP(Table91719[[#This Row],[Indeks]],drugiKolokvijum[[Indeks]:[Ukupno]],13,FALSE),0)*10</f>
        <v>34.300000000000004</v>
      </c>
      <c r="E13" s="10">
        <f>IFERROR(VLOOKUP(Table91719[[#This Row],[Indeks]],drugaLaboratorijskaVezba[],14,FALSE),0)</f>
        <v>0</v>
      </c>
      <c r="F13" s="10">
        <f>IFERROR(VLOOKUP(Table91719[[#This Row],[Indeks]],cetvrtaLaboratorijskaVezba[],14,FALSE),0)</f>
        <v>0</v>
      </c>
      <c r="G13" s="10">
        <f>IFERROR(VLOOKUP(Table91719[[#This Row],[Indeks]],dz[],4,FALSE),0)</f>
        <v>100</v>
      </c>
      <c r="H13" s="10">
        <f>IFERROR(VLOOKUP(Table91719[[#This Row],[Indeks]],dz[],5,FALSE),0)</f>
        <v>100</v>
      </c>
      <c r="I13" s="10">
        <f>(MAX(Table91719[[#This Row],[L2]],Table91719[[#This Row],[DZ1]])+MAX(Table91719[[#This Row],[L4]],Table91719[[#This Row],[DZ2]]))/2</f>
        <v>100</v>
      </c>
      <c r="J13" s="10">
        <f>(Table91719[[#This Row],[DZ1]]+Table91719[[#This Row],[DZ2]])/2</f>
        <v>100</v>
      </c>
      <c r="K13" s="10" cm="1">
        <f t="array" ref="K13">MAX((Table91719[[#This Row],[K1]]+Table91719[[#This Row],[K2]])/2,IFERROR(INDEX(ispit[Ukupno], MATCH(Table91719[[#This Row],[Indeks]]&amp;"1",ispit[Indeks]&amp;ispit[Rok],0)),0)*10)</f>
        <v>61.594444444444449</v>
      </c>
      <c r="L13" s="10" cm="1">
        <f t="array" ref="L13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13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13" s="12">
        <f>IF(OR(Table91719[[#This Row],[DZ rok]]=$T$1,Table91719[[#This Row],[I rok]]=$T$1),MEDIAN(5,10,FLOOR((Table91719[[#This Row],[P]] + 9.99)/10,1)),3)</f>
        <v>3</v>
      </c>
      <c r="O13" s="10"/>
      <c r="P13" s="10">
        <f>IFERROR(VLOOKUP(Table91719[[#This Row],[Indeks]],dz[],3,FALSE),"")</f>
        <v>4</v>
      </c>
      <c r="Q13" s="10" cm="1">
        <f t="array" ref="Q13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13" s="2"/>
      <c r="S13" s="1"/>
    </row>
    <row r="14" spans="1:20" ht="15.6" x14ac:dyDescent="0.3">
      <c r="A14" s="13" t="s">
        <v>122</v>
      </c>
      <c r="B14" s="10" t="str">
        <f>VLOOKUP(Table91719[[#This Row],[Indeks]],spisakStudenata[[Indeks]:[Prezime i ime (latinica)]],3,FALSE)</f>
        <v>Jovanović Milena</v>
      </c>
      <c r="C14" s="10">
        <f>IFERROR(10 * VLOOKUP(Table91719[[#This Row],[Indeks]],prviKolokvijum[[Indeks]:[K1]],13,FALSE),0)</f>
        <v>66.666666666666671</v>
      </c>
      <c r="D14" s="10">
        <f>IFERROR(VLOOKUP(Table91719[[#This Row],[Indeks]],drugiKolokvijum[[Indeks]:[Ukupno]],13,FALSE),0)*10</f>
        <v>35.699999999999996</v>
      </c>
      <c r="E14" s="10">
        <f>IFERROR(VLOOKUP(Table91719[[#This Row],[Indeks]],drugaLaboratorijskaVezba[],14,FALSE),0)</f>
        <v>0</v>
      </c>
      <c r="F14" s="10">
        <f>IFERROR(VLOOKUP(Table91719[[#This Row],[Indeks]],cetvrtaLaboratorijskaVezba[],14,FALSE),0)</f>
        <v>0</v>
      </c>
      <c r="G14" s="10">
        <f>IFERROR(VLOOKUP(Table91719[[#This Row],[Indeks]],dz[],4,FALSE),0)</f>
        <v>95</v>
      </c>
      <c r="H14" s="10">
        <f>IFERROR(VLOOKUP(Table91719[[#This Row],[Indeks]],dz[],5,FALSE),0)</f>
        <v>100</v>
      </c>
      <c r="I14" s="10">
        <f>(MAX(Table91719[[#This Row],[L2]],Table91719[[#This Row],[DZ1]])+MAX(Table91719[[#This Row],[L4]],Table91719[[#This Row],[DZ2]]))/2</f>
        <v>97.5</v>
      </c>
      <c r="J14" s="10">
        <f>(Table91719[[#This Row],[DZ1]]+Table91719[[#This Row],[DZ2]])/2</f>
        <v>97.5</v>
      </c>
      <c r="K14" s="10" cm="1">
        <f t="array" ref="K14">MAX((Table91719[[#This Row],[K1]]+Table91719[[#This Row],[K2]])/2,IFERROR(INDEX(ispit[Ukupno], MATCH(Table91719[[#This Row],[Indeks]]&amp;"1",ispit[Indeks]&amp;ispit[Rok],0)),0)*10)</f>
        <v>51.183333333333337</v>
      </c>
      <c r="L14" s="10" cm="1">
        <f t="array" ref="L14">IF(MAX(ROW(ispit[Indeks]) * (Table91719[[#This Row],[Indeks]]=ispit[Indeks]) * ($T$1&gt;=ispit[Rok])) &gt; 0,10 * INDEX(ispit[Ukupno],SUMPRODUCT(MAX(ROW(ispit[Indeks]) * (Table91719[[#This Row],[Indeks]]=ispit[Indeks]) * ($T$1&gt;=ispit[Rok])) - 1)),0)</f>
        <v>48.3</v>
      </c>
      <c r="M14" s="10">
        <f>IF(AND(Table91719[[#This Row],[L]]&gt;=40,Table91719[[#This Row],[I]]&gt;=40),0.2*Table91719[[#This Row],[L]]+0.3*Table91719[[#This Row],[D]]+0.2*Table91719[[#This Row],[K]]+0.3*Table91719[[#This Row],[I]]+Table91719[[#This Row],[Dodato]],0)</f>
        <v>73.476666666666659</v>
      </c>
      <c r="N14" s="12">
        <f>IF(OR(Table91719[[#This Row],[DZ rok]]=$T$1,Table91719[[#This Row],[I rok]]=$T$1),MEDIAN(5,10,FLOOR((Table91719[[#This Row],[P]] + 9.99)/10,1)),3)</f>
        <v>3</v>
      </c>
      <c r="O14" s="10"/>
      <c r="P14" s="10">
        <f>IFERROR(VLOOKUP(Table91719[[#This Row],[Indeks]],dz[],3,FALSE),"")</f>
        <v>4</v>
      </c>
      <c r="Q14" s="10" cm="1">
        <f t="array" ref="Q14">IF(MAX(ROW(ispit[Indeks]) * (Table91719[[#This Row],[Indeks]]=ispit[Indeks]) * ($T$1&gt;=ispit[Rok])) &gt; 0,INDEX(ispit[Rok],SUMPRODUCT(MAX(ROW(ispit[Indeks]) * (Table91719[[#This Row],[Indeks]]=ispit[Indeks]) * ($T$1&gt;=ispit[Rok])) - 1)),0)</f>
        <v>1</v>
      </c>
      <c r="R14" s="2"/>
      <c r="S14" s="1"/>
    </row>
    <row r="15" spans="1:20" ht="15.6" x14ac:dyDescent="0.3">
      <c r="A15" s="13" t="s">
        <v>126</v>
      </c>
      <c r="B15" s="10" t="str">
        <f>VLOOKUP(Table91719[[#This Row],[Indeks]],spisakStudenata[[Indeks]:[Prezime i ime (latinica)]],3,FALSE)</f>
        <v>Đurić Anja</v>
      </c>
      <c r="C15" s="10">
        <f>IFERROR(10 * VLOOKUP(Table91719[[#This Row],[Indeks]],prviKolokvijum[[Indeks]:[K1]],13,FALSE),0)</f>
        <v>41.666666666666671</v>
      </c>
      <c r="D15" s="10">
        <f>IFERROR(VLOOKUP(Table91719[[#This Row],[Indeks]],drugiKolokvijum[[Indeks]:[Ukupno]],13,FALSE),0)*10</f>
        <v>76.100000000000009</v>
      </c>
      <c r="E15" s="10">
        <f>IFERROR(VLOOKUP(Table91719[[#This Row],[Indeks]],drugaLaboratorijskaVezba[],14,FALSE),0)</f>
        <v>0</v>
      </c>
      <c r="F15" s="10">
        <f>IFERROR(VLOOKUP(Table91719[[#This Row],[Indeks]],cetvrtaLaboratorijskaVezba[],14,FALSE),0)</f>
        <v>0</v>
      </c>
      <c r="G15" s="10">
        <f>IFERROR(VLOOKUP(Table91719[[#This Row],[Indeks]],dz[],4,FALSE),0)</f>
        <v>0</v>
      </c>
      <c r="H15" s="10">
        <f>IFERROR(VLOOKUP(Table91719[[#This Row],[Indeks]],dz[],5,FALSE),0)</f>
        <v>0</v>
      </c>
      <c r="I15" s="10">
        <f>(MAX(Table91719[[#This Row],[L2]],Table91719[[#This Row],[DZ1]])+MAX(Table91719[[#This Row],[L4]],Table91719[[#This Row],[DZ2]]))/2</f>
        <v>0</v>
      </c>
      <c r="J15" s="10">
        <f>(Table91719[[#This Row],[DZ1]]+Table91719[[#This Row],[DZ2]])/2</f>
        <v>0</v>
      </c>
      <c r="K15" s="10" cm="1">
        <f t="array" ref="K15">MAX((Table91719[[#This Row],[K1]]+Table91719[[#This Row],[K2]])/2,IFERROR(INDEX(ispit[Ukupno], MATCH(Table91719[[#This Row],[Indeks]]&amp;"1",ispit[Indeks]&amp;ispit[Rok],0)),0)*10)</f>
        <v>59.2</v>
      </c>
      <c r="L15" s="10" cm="1">
        <f t="array" ref="L15">IF(MAX(ROW(ispit[Indeks]) * (Table91719[[#This Row],[Indeks]]=ispit[Indeks]) * ($T$1&gt;=ispit[Rok])) &gt; 0,10 * INDEX(ispit[Ukupno],SUMPRODUCT(MAX(ROW(ispit[Indeks]) * (Table91719[[#This Row],[Indeks]]=ispit[Indeks]) * ($T$1&gt;=ispit[Rok])) - 1)),0)</f>
        <v>59.2</v>
      </c>
      <c r="M15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15" s="12">
        <f>IF(OR(Table91719[[#This Row],[DZ rok]]=$T$1,Table91719[[#This Row],[I rok]]=$T$1),MEDIAN(5,10,FLOOR((Table91719[[#This Row],[P]] + 9.99)/10,1)),3)</f>
        <v>3</v>
      </c>
      <c r="O15" s="10"/>
      <c r="P15" s="10" t="str">
        <f>IFERROR(VLOOKUP(Table91719[[#This Row],[Indeks]],dz[],3,FALSE),"")</f>
        <v/>
      </c>
      <c r="Q15" s="10" cm="1">
        <f t="array" ref="Q15">IF(MAX(ROW(ispit[Indeks]) * (Table91719[[#This Row],[Indeks]]=ispit[Indeks]) * ($T$1&gt;=ispit[Rok])) &gt; 0,INDEX(ispit[Rok],SUMPRODUCT(MAX(ROW(ispit[Indeks]) * (Table91719[[#This Row],[Indeks]]=ispit[Indeks]) * ($T$1&gt;=ispit[Rok])) - 1)),0)</f>
        <v>1</v>
      </c>
      <c r="R15" s="2"/>
      <c r="S15" s="1"/>
    </row>
    <row r="16" spans="1:20" ht="15.6" x14ac:dyDescent="0.3">
      <c r="A16" s="13" t="s">
        <v>87</v>
      </c>
      <c r="B16" s="10" t="str">
        <f>VLOOKUP(Table91719[[#This Row],[Indeks]],spisakStudenata[[Indeks]:[Prezime i ime (latinica)]],3,FALSE)</f>
        <v>Mihailo Folić</v>
      </c>
      <c r="C16" s="10">
        <f>IFERROR(10 * VLOOKUP(Table91719[[#This Row],[Indeks]],prviKolokvijum[[Indeks]:[K1]],13,FALSE),0)</f>
        <v>0</v>
      </c>
      <c r="D16" s="10">
        <f>IFERROR(VLOOKUP(Table91719[[#This Row],[Indeks]],drugiKolokvijum[[Indeks]:[Ukupno]],13,FALSE),0)*10</f>
        <v>0</v>
      </c>
      <c r="E16" s="10">
        <f>IFERROR(VLOOKUP(Table91719[[#This Row],[Indeks]],drugaLaboratorijskaVezba[],14,FALSE),0)</f>
        <v>0</v>
      </c>
      <c r="F16" s="10">
        <f>IFERROR(VLOOKUP(Table91719[[#This Row],[Indeks]],cetvrtaLaboratorijskaVezba[],14,FALSE),0)</f>
        <v>0</v>
      </c>
      <c r="G16" s="10">
        <f>IFERROR(VLOOKUP(Table91719[[#This Row],[Indeks]],dz[],4,FALSE),0)</f>
        <v>95</v>
      </c>
      <c r="H16" s="10">
        <f>IFERROR(VLOOKUP(Table91719[[#This Row],[Indeks]],dz[],5,FALSE),0)</f>
        <v>100</v>
      </c>
      <c r="I16" s="10">
        <f>(MAX(Table91719[[#This Row],[L2]],Table91719[[#This Row],[DZ1]])+MAX(Table91719[[#This Row],[L4]],Table91719[[#This Row],[DZ2]]))/2</f>
        <v>97.5</v>
      </c>
      <c r="J16" s="10">
        <f>(Table91719[[#This Row],[DZ1]]+Table91719[[#This Row],[DZ2]])/2</f>
        <v>97.5</v>
      </c>
      <c r="K16" s="10" cm="1">
        <f t="array" ref="K16">MAX((Table91719[[#This Row],[K1]]+Table91719[[#This Row],[K2]])/2,IFERROR(INDEX(ispit[Ukupno], MATCH(Table91719[[#This Row],[Indeks]]&amp;"1",ispit[Indeks]&amp;ispit[Rok],0)),0)*10)</f>
        <v>0</v>
      </c>
      <c r="L16" s="10" cm="1">
        <f t="array" ref="L16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16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16" s="12">
        <f>IF(OR(Table91719[[#This Row],[DZ rok]]=$T$1,Table91719[[#This Row],[I rok]]=$T$1),MEDIAN(5,10,FLOOR((Table91719[[#This Row],[P]] + 9.99)/10,1)),3)</f>
        <v>3</v>
      </c>
      <c r="O16" s="10"/>
      <c r="P16" s="10">
        <f>IFERROR(VLOOKUP(Table91719[[#This Row],[Indeks]],dz[],3,FALSE),"")</f>
        <v>4</v>
      </c>
      <c r="Q16" s="10" cm="1">
        <f t="array" ref="Q16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16" s="2"/>
      <c r="S16" s="1"/>
    </row>
    <row r="17" spans="1:19" ht="15.6" x14ac:dyDescent="0.3">
      <c r="A17" s="13"/>
      <c r="B17" s="10" t="e">
        <f>VLOOKUP(Table91719[[#This Row],[Indeks]],spisakStudenata[[Indeks]:[Prezime i ime (latinica)]],3,FALSE)</f>
        <v>#N/A</v>
      </c>
      <c r="C17" s="10">
        <f>IFERROR(10 * VLOOKUP(Table91719[[#This Row],[Indeks]],prviKolokvijum[[Indeks]:[K1]],13,FALSE),0)</f>
        <v>0</v>
      </c>
      <c r="D17" s="10">
        <f>IFERROR(VLOOKUP(Table91719[[#This Row],[Indeks]],drugiKolokvijum[[Indeks]:[Ukupno]],13,FALSE),0)*10</f>
        <v>0</v>
      </c>
      <c r="E17" s="10">
        <f>IFERROR(VLOOKUP(Table91719[[#This Row],[Indeks]],drugaLaboratorijskaVezba[],14,FALSE),0)</f>
        <v>0</v>
      </c>
      <c r="F17" s="10">
        <f>IFERROR(VLOOKUP(Table91719[[#This Row],[Indeks]],cetvrtaLaboratorijskaVezba[],14,FALSE),0)</f>
        <v>0</v>
      </c>
      <c r="G17" s="10">
        <f>IFERROR(VLOOKUP(Table91719[[#This Row],[Indeks]],dz[],4,FALSE),0)</f>
        <v>0</v>
      </c>
      <c r="H17" s="10">
        <f>IFERROR(VLOOKUP(Table91719[[#This Row],[Indeks]],dz[],5,FALSE),0)</f>
        <v>0</v>
      </c>
      <c r="I17" s="10">
        <f>(MAX(Table91719[[#This Row],[L2]],Table91719[[#This Row],[DZ1]])+MAX(Table91719[[#This Row],[L4]],Table91719[[#This Row],[DZ2]]))/2</f>
        <v>0</v>
      </c>
      <c r="J17" s="10">
        <f>(Table91719[[#This Row],[DZ1]]+Table91719[[#This Row],[DZ2]])/2</f>
        <v>0</v>
      </c>
      <c r="K17" s="10" cm="1">
        <f t="array" ref="K17">MAX((Table91719[[#This Row],[K1]]+Table91719[[#This Row],[K2]])/2,IFERROR(INDEX(ispit[Ukupno], MATCH(Table91719[[#This Row],[Indeks]]&amp;"1",ispit[Indeks]&amp;ispit[Rok],0)),0)*10)</f>
        <v>0</v>
      </c>
      <c r="L17" s="10" cm="1">
        <f t="array" ref="L17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17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17" s="12">
        <f>IF(OR(Table91719[[#This Row],[DZ rok]]=$T$1,Table91719[[#This Row],[I rok]]=$T$1),MEDIAN(5,10,FLOOR((Table91719[[#This Row],[P]] + 9.99)/10,1)),3)</f>
        <v>3</v>
      </c>
      <c r="O17" s="10"/>
      <c r="P17" s="10" t="str">
        <f>IFERROR(VLOOKUP(Table91719[[#This Row],[Indeks]],dz[],3,FALSE),"")</f>
        <v/>
      </c>
      <c r="Q17" s="10" cm="1">
        <f t="array" ref="Q17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17" s="2"/>
      <c r="S17" s="1"/>
    </row>
    <row r="18" spans="1:19" ht="15.6" x14ac:dyDescent="0.3">
      <c r="A18" s="13"/>
      <c r="B18" s="10" t="e">
        <f>VLOOKUP(Table91719[[#This Row],[Indeks]],spisakStudenata[[Indeks]:[Prezime i ime (latinica)]],3,FALSE)</f>
        <v>#N/A</v>
      </c>
      <c r="C18" s="10">
        <f>IFERROR(10 * VLOOKUP(Table91719[[#This Row],[Indeks]],prviKolokvijum[[Indeks]:[K1]],13,FALSE),0)</f>
        <v>0</v>
      </c>
      <c r="D18" s="10">
        <f>IFERROR(VLOOKUP(Table91719[[#This Row],[Indeks]],drugiKolokvijum[[Indeks]:[Ukupno]],13,FALSE),0)*10</f>
        <v>0</v>
      </c>
      <c r="E18" s="10">
        <f>IFERROR(VLOOKUP(Table91719[[#This Row],[Indeks]],drugaLaboratorijskaVezba[],14,FALSE),0)</f>
        <v>0</v>
      </c>
      <c r="F18" s="10">
        <f>IFERROR(VLOOKUP(Table91719[[#This Row],[Indeks]],cetvrtaLaboratorijskaVezba[],14,FALSE),0)</f>
        <v>0</v>
      </c>
      <c r="G18" s="10">
        <f>IFERROR(VLOOKUP(Table91719[[#This Row],[Indeks]],dz[],4,FALSE),0)</f>
        <v>0</v>
      </c>
      <c r="H18" s="10">
        <f>IFERROR(VLOOKUP(Table91719[[#This Row],[Indeks]],dz[],5,FALSE),0)</f>
        <v>0</v>
      </c>
      <c r="I18" s="10">
        <f>(MAX(Table91719[[#This Row],[L2]],Table91719[[#This Row],[DZ1]])+MAX(Table91719[[#This Row],[L4]],Table91719[[#This Row],[DZ2]]))/2</f>
        <v>0</v>
      </c>
      <c r="J18" s="10">
        <f>(Table91719[[#This Row],[DZ1]]+Table91719[[#This Row],[DZ2]])/2</f>
        <v>0</v>
      </c>
      <c r="K18" s="10" cm="1">
        <f t="array" ref="K18">MAX((Table91719[[#This Row],[K1]]+Table91719[[#This Row],[K2]])/2,IFERROR(INDEX(ispit[Ukupno], MATCH(Table91719[[#This Row],[Indeks]]&amp;"1",ispit[Indeks]&amp;ispit[Rok],0)),0)*10)</f>
        <v>0</v>
      </c>
      <c r="L18" s="10" cm="1">
        <f t="array" ref="L18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18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18" s="12">
        <f>IF(OR(Table91719[[#This Row],[DZ rok]]=$T$1,Table91719[[#This Row],[I rok]]=$T$1),MEDIAN(5,10,FLOOR((Table91719[[#This Row],[P]] + 9.99)/10,1)),3)</f>
        <v>3</v>
      </c>
      <c r="O18" s="10"/>
      <c r="P18" s="10" t="str">
        <f>IFERROR(VLOOKUP(Table91719[[#This Row],[Indeks]],dz[],3,FALSE),"")</f>
        <v/>
      </c>
      <c r="Q18" s="10" cm="1">
        <f t="array" ref="Q18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18" s="2"/>
      <c r="S18" s="1"/>
    </row>
    <row r="19" spans="1:19" ht="15.6" x14ac:dyDescent="0.3">
      <c r="A19" s="13"/>
      <c r="B19" s="10" t="e">
        <f>VLOOKUP(Table91719[[#This Row],[Indeks]],spisakStudenata[[Indeks]:[Prezime i ime (latinica)]],3,FALSE)</f>
        <v>#N/A</v>
      </c>
      <c r="C19" s="10">
        <f>IFERROR(10 * VLOOKUP(Table91719[[#This Row],[Indeks]],prviKolokvijum[[Indeks]:[K1]],13,FALSE),0)</f>
        <v>0</v>
      </c>
      <c r="D19" s="10">
        <f>IFERROR(VLOOKUP(Table91719[[#This Row],[Indeks]],drugiKolokvijum[[Indeks]:[Ukupno]],13,FALSE),0)*10</f>
        <v>0</v>
      </c>
      <c r="E19" s="10">
        <f>IFERROR(VLOOKUP(Table91719[[#This Row],[Indeks]],drugaLaboratorijskaVezba[],14,FALSE),0)</f>
        <v>0</v>
      </c>
      <c r="F19" s="10">
        <f>IFERROR(VLOOKUP(Table91719[[#This Row],[Indeks]],cetvrtaLaboratorijskaVezba[],14,FALSE),0)</f>
        <v>0</v>
      </c>
      <c r="G19" s="10">
        <f>IFERROR(VLOOKUP(Table91719[[#This Row],[Indeks]],dz[],4,FALSE),0)</f>
        <v>0</v>
      </c>
      <c r="H19" s="10">
        <f>IFERROR(VLOOKUP(Table91719[[#This Row],[Indeks]],dz[],5,FALSE),0)</f>
        <v>0</v>
      </c>
      <c r="I19" s="10">
        <f>(MAX(Table91719[[#This Row],[L2]],Table91719[[#This Row],[DZ1]])+MAX(Table91719[[#This Row],[L4]],Table91719[[#This Row],[DZ2]]))/2</f>
        <v>0</v>
      </c>
      <c r="J19" s="10">
        <f>(Table91719[[#This Row],[DZ1]]+Table91719[[#This Row],[DZ2]])/2</f>
        <v>0</v>
      </c>
      <c r="K19" s="10" cm="1">
        <f t="array" ref="K19">MAX((Table91719[[#This Row],[K1]]+Table91719[[#This Row],[K2]])/2,IFERROR(INDEX(ispit[Ukupno], MATCH(Table91719[[#This Row],[Indeks]]&amp;"1",ispit[Indeks]&amp;ispit[Rok],0)),0)*10)</f>
        <v>0</v>
      </c>
      <c r="L19" s="10" cm="1">
        <f t="array" ref="L19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19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19" s="12">
        <f>IF(OR(Table91719[[#This Row],[DZ rok]]=$T$1,Table91719[[#This Row],[I rok]]=$T$1),MEDIAN(5,10,FLOOR((Table91719[[#This Row],[P]] + 9.99)/10,1)),3)</f>
        <v>3</v>
      </c>
      <c r="O19" s="10"/>
      <c r="P19" s="10" t="str">
        <f>IFERROR(VLOOKUP(Table91719[[#This Row],[Indeks]],dz[],3,FALSE),"")</f>
        <v/>
      </c>
      <c r="Q19" s="10" cm="1">
        <f t="array" ref="Q19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19" s="2"/>
      <c r="S19" s="1"/>
    </row>
    <row r="20" spans="1:19" ht="15.6" x14ac:dyDescent="0.3">
      <c r="A20" s="13"/>
      <c r="B20" s="10" t="e">
        <f>VLOOKUP(Table91719[[#This Row],[Indeks]],spisakStudenata[[Indeks]:[Prezime i ime (latinica)]],3,FALSE)</f>
        <v>#N/A</v>
      </c>
      <c r="C20" s="10">
        <f>IFERROR(10 * VLOOKUP(Table91719[[#This Row],[Indeks]],prviKolokvijum[[Indeks]:[K1]],13,FALSE),0)</f>
        <v>0</v>
      </c>
      <c r="D20" s="10">
        <f>IFERROR(VLOOKUP(Table91719[[#This Row],[Indeks]],drugiKolokvijum[[Indeks]:[Ukupno]],13,FALSE),0)*10</f>
        <v>0</v>
      </c>
      <c r="E20" s="10">
        <f>IFERROR(VLOOKUP(Table91719[[#This Row],[Indeks]],drugaLaboratorijskaVezba[],14,FALSE),0)</f>
        <v>0</v>
      </c>
      <c r="F20" s="10">
        <f>IFERROR(VLOOKUP(Table91719[[#This Row],[Indeks]],cetvrtaLaboratorijskaVezba[],14,FALSE),0)</f>
        <v>0</v>
      </c>
      <c r="G20" s="10">
        <f>IFERROR(VLOOKUP(Table91719[[#This Row],[Indeks]],dz[],4,FALSE),0)</f>
        <v>0</v>
      </c>
      <c r="H20" s="10">
        <f>IFERROR(VLOOKUP(Table91719[[#This Row],[Indeks]],dz[],5,FALSE),0)</f>
        <v>0</v>
      </c>
      <c r="I20" s="10">
        <f>(MAX(Table91719[[#This Row],[L2]],Table91719[[#This Row],[DZ1]])+MAX(Table91719[[#This Row],[L4]],Table91719[[#This Row],[DZ2]]))/2</f>
        <v>0</v>
      </c>
      <c r="J20" s="10">
        <f>(Table91719[[#This Row],[DZ1]]+Table91719[[#This Row],[DZ2]])/2</f>
        <v>0</v>
      </c>
      <c r="K20" s="10" cm="1">
        <f t="array" ref="K20">MAX((Table91719[[#This Row],[K1]]+Table91719[[#This Row],[K2]])/2,IFERROR(INDEX(ispit[Ukupno], MATCH(Table91719[[#This Row],[Indeks]]&amp;"1",ispit[Indeks]&amp;ispit[Rok],0)),0)*10)</f>
        <v>0</v>
      </c>
      <c r="L20" s="10" cm="1">
        <f t="array" ref="L20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20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20" s="12">
        <f>IF(OR(Table91719[[#This Row],[DZ rok]]=$T$1,Table91719[[#This Row],[I rok]]=$T$1),MEDIAN(5,10,FLOOR((Table91719[[#This Row],[P]] + 9.99)/10,1)),3)</f>
        <v>3</v>
      </c>
      <c r="O20" s="10"/>
      <c r="P20" s="10" t="str">
        <f>IFERROR(VLOOKUP(Table91719[[#This Row],[Indeks]],dz[],3,FALSE),"")</f>
        <v/>
      </c>
      <c r="Q20" s="10" cm="1">
        <f t="array" ref="Q20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20" s="2"/>
      <c r="S20" s="1"/>
    </row>
    <row r="21" spans="1:19" ht="15.6" x14ac:dyDescent="0.3">
      <c r="A21" s="13"/>
      <c r="B21" s="10" t="e">
        <f>VLOOKUP(Table91719[[#This Row],[Indeks]],spisakStudenata[[Indeks]:[Prezime i ime (latinica)]],3,FALSE)</f>
        <v>#N/A</v>
      </c>
      <c r="C21" s="10">
        <f>IFERROR(10 * VLOOKUP(Table91719[[#This Row],[Indeks]],prviKolokvijum[[Indeks]:[K1]],13,FALSE),0)</f>
        <v>0</v>
      </c>
      <c r="D21" s="10">
        <f>IFERROR(VLOOKUP(Table91719[[#This Row],[Indeks]],drugiKolokvijum[[Indeks]:[Ukupno]],13,FALSE),0)*10</f>
        <v>0</v>
      </c>
      <c r="E21" s="10">
        <f>IFERROR(VLOOKUP(Table91719[[#This Row],[Indeks]],drugaLaboratorijskaVezba[],14,FALSE),0)</f>
        <v>0</v>
      </c>
      <c r="F21" s="10">
        <f>IFERROR(VLOOKUP(Table91719[[#This Row],[Indeks]],cetvrtaLaboratorijskaVezba[],14,FALSE),0)</f>
        <v>0</v>
      </c>
      <c r="G21" s="10">
        <f>IFERROR(VLOOKUP(Table91719[[#This Row],[Indeks]],dz[],4,FALSE),0)</f>
        <v>0</v>
      </c>
      <c r="H21" s="10">
        <f>IFERROR(VLOOKUP(Table91719[[#This Row],[Indeks]],dz[],5,FALSE),0)</f>
        <v>0</v>
      </c>
      <c r="I21" s="10">
        <f>(MAX(Table91719[[#This Row],[L2]],Table91719[[#This Row],[DZ1]])+MAX(Table91719[[#This Row],[L4]],Table91719[[#This Row],[DZ2]]))/2</f>
        <v>0</v>
      </c>
      <c r="J21" s="10">
        <f>(Table91719[[#This Row],[DZ1]]+Table91719[[#This Row],[DZ2]])/2</f>
        <v>0</v>
      </c>
      <c r="K21" s="10" cm="1">
        <f t="array" ref="K21">MAX((Table91719[[#This Row],[K1]]+Table91719[[#This Row],[K2]])/2,IFERROR(INDEX(ispit[Ukupno], MATCH(Table91719[[#This Row],[Indeks]]&amp;"1",ispit[Indeks]&amp;ispit[Rok],0)),0)*10)</f>
        <v>0</v>
      </c>
      <c r="L21" s="10" cm="1">
        <f t="array" ref="L21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21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21" s="12">
        <f>IF(OR(Table91719[[#This Row],[DZ rok]]=$T$1,Table91719[[#This Row],[I rok]]=$T$1),MEDIAN(5,10,FLOOR((Table91719[[#This Row],[P]] + 9.99)/10,1)),3)</f>
        <v>3</v>
      </c>
      <c r="O21" s="10"/>
      <c r="P21" s="10" t="str">
        <f>IFERROR(VLOOKUP(Table91719[[#This Row],[Indeks]],dz[],3,FALSE),"")</f>
        <v/>
      </c>
      <c r="Q21" s="10" cm="1">
        <f t="array" ref="Q21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21" s="2"/>
      <c r="S21" s="1"/>
    </row>
    <row r="22" spans="1:19" ht="15.6" x14ac:dyDescent="0.3">
      <c r="A22" s="13"/>
      <c r="B22" s="10" t="e">
        <f>VLOOKUP(Table91719[[#This Row],[Indeks]],spisakStudenata[[Indeks]:[Prezime i ime (latinica)]],3,FALSE)</f>
        <v>#N/A</v>
      </c>
      <c r="C22" s="10">
        <f>IFERROR(10 * VLOOKUP(Table91719[[#This Row],[Indeks]],prviKolokvijum[[Indeks]:[K1]],13,FALSE),0)</f>
        <v>0</v>
      </c>
      <c r="D22" s="10">
        <f>IFERROR(VLOOKUP(Table91719[[#This Row],[Indeks]],drugiKolokvijum[[Indeks]:[Ukupno]],13,FALSE),0)*10</f>
        <v>0</v>
      </c>
      <c r="E22" s="10">
        <f>IFERROR(VLOOKUP(Table91719[[#This Row],[Indeks]],drugaLaboratorijskaVezba[],14,FALSE),0)</f>
        <v>0</v>
      </c>
      <c r="F22" s="10">
        <f>IFERROR(VLOOKUP(Table91719[[#This Row],[Indeks]],cetvrtaLaboratorijskaVezba[],14,FALSE),0)</f>
        <v>0</v>
      </c>
      <c r="G22" s="10">
        <f>IFERROR(VLOOKUP(Table91719[[#This Row],[Indeks]],dz[],4,FALSE),0)</f>
        <v>0</v>
      </c>
      <c r="H22" s="10">
        <f>IFERROR(VLOOKUP(Table91719[[#This Row],[Indeks]],dz[],5,FALSE),0)</f>
        <v>0</v>
      </c>
      <c r="I22" s="10">
        <f>(MAX(Table91719[[#This Row],[L2]],Table91719[[#This Row],[DZ1]])+MAX(Table91719[[#This Row],[L4]],Table91719[[#This Row],[DZ2]]))/2</f>
        <v>0</v>
      </c>
      <c r="J22" s="10">
        <f>(Table91719[[#This Row],[DZ1]]+Table91719[[#This Row],[DZ2]])/2</f>
        <v>0</v>
      </c>
      <c r="K22" s="10" cm="1">
        <f t="array" ref="K22">MAX((Table91719[[#This Row],[K1]]+Table91719[[#This Row],[K2]])/2,IFERROR(INDEX(ispit[Ukupno], MATCH(Table91719[[#This Row],[Indeks]]&amp;"1",ispit[Indeks]&amp;ispit[Rok],0)),0)*10)</f>
        <v>0</v>
      </c>
      <c r="L22" s="10" cm="1">
        <f t="array" ref="L22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22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22" s="12">
        <f>IF(OR(Table91719[[#This Row],[DZ rok]]=$T$1,Table91719[[#This Row],[I rok]]=$T$1),MEDIAN(5,10,FLOOR((Table91719[[#This Row],[P]] + 9.99)/10,1)),3)</f>
        <v>3</v>
      </c>
      <c r="O22" s="10"/>
      <c r="P22" s="10" t="str">
        <f>IFERROR(VLOOKUP(Table91719[[#This Row],[Indeks]],dz[],3,FALSE),"")</f>
        <v/>
      </c>
      <c r="Q22" s="10" cm="1">
        <f t="array" ref="Q22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22" s="2"/>
      <c r="S22" s="1"/>
    </row>
    <row r="23" spans="1:19" ht="15.6" x14ac:dyDescent="0.3">
      <c r="A23" s="13"/>
      <c r="B23" s="10" t="e">
        <f>VLOOKUP(Table91719[[#This Row],[Indeks]],spisakStudenata[[Indeks]:[Prezime i ime (latinica)]],3,FALSE)</f>
        <v>#N/A</v>
      </c>
      <c r="C23" s="10">
        <f>IFERROR(10 * VLOOKUP(Table91719[[#This Row],[Indeks]],prviKolokvijum[[Indeks]:[K1]],13,FALSE),0)</f>
        <v>0</v>
      </c>
      <c r="D23" s="10">
        <f>IFERROR(VLOOKUP(Table91719[[#This Row],[Indeks]],drugiKolokvijum[[Indeks]:[Ukupno]],13,FALSE),0)*10</f>
        <v>0</v>
      </c>
      <c r="E23" s="10">
        <f>IFERROR(VLOOKUP(Table91719[[#This Row],[Indeks]],drugaLaboratorijskaVezba[],14,FALSE),0)</f>
        <v>0</v>
      </c>
      <c r="F23" s="10">
        <f>IFERROR(VLOOKUP(Table91719[[#This Row],[Indeks]],cetvrtaLaboratorijskaVezba[],14,FALSE),0)</f>
        <v>0</v>
      </c>
      <c r="G23" s="10">
        <f>IFERROR(VLOOKUP(Table91719[[#This Row],[Indeks]],dz[],4,FALSE),0)</f>
        <v>0</v>
      </c>
      <c r="H23" s="10">
        <f>IFERROR(VLOOKUP(Table91719[[#This Row],[Indeks]],dz[],5,FALSE),0)</f>
        <v>0</v>
      </c>
      <c r="I23" s="10">
        <f>(MAX(Table91719[[#This Row],[L2]],Table91719[[#This Row],[DZ1]])+MAX(Table91719[[#This Row],[L4]],Table91719[[#This Row],[DZ2]]))/2</f>
        <v>0</v>
      </c>
      <c r="J23" s="10">
        <f>(Table91719[[#This Row],[DZ1]]+Table91719[[#This Row],[DZ2]])/2</f>
        <v>0</v>
      </c>
      <c r="K23" s="10" cm="1">
        <f t="array" ref="K23">MAX((Table91719[[#This Row],[K1]]+Table91719[[#This Row],[K2]])/2,IFERROR(INDEX(ispit[Ukupno], MATCH(Table91719[[#This Row],[Indeks]]&amp;"1",ispit[Indeks]&amp;ispit[Rok],0)),0)*10)</f>
        <v>0</v>
      </c>
      <c r="L23" s="10" cm="1">
        <f t="array" ref="L23">IF(MAX(ROW(ispit[Indeks]) * (Table91719[[#This Row],[Indeks]]=ispit[Indeks]) * ($T$1&gt;=ispit[Rok])) &gt; 0,10 * INDEX(ispit[Ukupno],SUMPRODUCT(MAX(ROW(ispit[Indeks]) * (Table91719[[#This Row],[Indeks]]=ispit[Indeks]) * ($T$1&gt;=ispit[Rok])) - 1)),0)</f>
        <v>0</v>
      </c>
      <c r="M23" s="10">
        <f>IF(AND(Table91719[[#This Row],[L]]&gt;=40,Table91719[[#This Row],[I]]&gt;=40),0.2*Table91719[[#This Row],[L]]+0.3*Table91719[[#This Row],[D]]+0.2*Table91719[[#This Row],[K]]+0.3*Table91719[[#This Row],[I]]+Table91719[[#This Row],[Dodato]],0)</f>
        <v>0</v>
      </c>
      <c r="N23" s="12">
        <f>IF(OR(Table91719[[#This Row],[DZ rok]]=$T$1,Table91719[[#This Row],[I rok]]=$T$1),MEDIAN(5,10,FLOOR((Table91719[[#This Row],[P]] + 9.99)/10,1)),3)</f>
        <v>3</v>
      </c>
      <c r="O23" s="10"/>
      <c r="P23" s="10" t="str">
        <f>IFERROR(VLOOKUP(Table91719[[#This Row],[Indeks]],dz[],3,FALSE),"")</f>
        <v/>
      </c>
      <c r="Q23" s="10" cm="1">
        <f t="array" ref="Q23">IF(MAX(ROW(ispit[Indeks]) * (Table91719[[#This Row],[Indeks]]=ispit[Indeks]) * ($T$1&gt;=ispit[Rok])) &gt; 0,INDEX(ispit[Rok],SUMPRODUCT(MAX(ROW(ispit[Indeks]) * (Table91719[[#This Row],[Indeks]]=ispit[Indeks]) * ($T$1&gt;=ispit[Rok])) - 1)),0)</f>
        <v>0</v>
      </c>
      <c r="R23" s="2"/>
      <c r="S23" s="1"/>
    </row>
    <row r="24" spans="1:19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</row>
    <row r="25" spans="1:19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</row>
    <row r="26" spans="1:19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</row>
    <row r="27" spans="1:19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</row>
    <row r="28" spans="1:19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</row>
    <row r="29" spans="1:19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</row>
    <row r="30" spans="1:19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</row>
    <row r="31" spans="1:19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</row>
    <row r="32" spans="1:19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</row>
    <row r="33" spans="1:19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</row>
    <row r="34" spans="1:19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</row>
    <row r="35" spans="1:19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</row>
    <row r="36" spans="1:19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</row>
    <row r="37" spans="1:19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</row>
    <row r="38" spans="1:19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</row>
    <row r="39" spans="1:19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</row>
    <row r="40" spans="1:19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</sheetData>
  <printOptions horizontalCentered="1"/>
  <pageMargins left="0.25" right="0.25" top="0.75" bottom="0.75" header="0.3" footer="0.3"/>
  <pageSetup paperSize="9" scale="54" orientation="landscape" r:id="rId1"/>
  <headerFooter>
    <oddHeader>&amp;CRačunarska grafika
Avgustovski ispitni rok</oddHeader>
  </headerFooter>
  <colBreaks count="1" manualBreakCount="1">
    <brk id="15" max="1048575" man="1"/>
  </colBreaks>
  <drawing r:id="rId2"/>
  <tableParts count="2">
    <tablePart r:id="rId3"/>
    <tablePart r:id="rId4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15B3D-B5BF-4960-A6AC-601A8F73FF1F}">
  <sheetPr>
    <pageSetUpPr fitToPage="1"/>
  </sheetPr>
  <dimension ref="A1:T40"/>
  <sheetViews>
    <sheetView tabSelected="1" zoomScaleNormal="100" workbookViewId="0">
      <selection activeCell="W5" sqref="W5"/>
    </sheetView>
  </sheetViews>
  <sheetFormatPr defaultRowHeight="14.4" x14ac:dyDescent="0.3"/>
  <cols>
    <col min="1" max="1" width="10.77734375" bestFit="1" customWidth="1"/>
    <col min="2" max="2" width="20.109375" bestFit="1" customWidth="1"/>
  </cols>
  <sheetData>
    <row r="1" spans="1:20" ht="15.6" x14ac:dyDescent="0.3">
      <c r="A1" s="2" t="s">
        <v>0</v>
      </c>
      <c r="B1" s="2" t="s">
        <v>1</v>
      </c>
      <c r="C1" s="2" t="s">
        <v>31</v>
      </c>
      <c r="D1" s="2" t="s">
        <v>32</v>
      </c>
      <c r="E1" s="2" t="s">
        <v>33</v>
      </c>
      <c r="F1" s="2" t="s">
        <v>34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27</v>
      </c>
      <c r="O1" s="2" t="s">
        <v>54</v>
      </c>
      <c r="P1" s="2" t="s">
        <v>46</v>
      </c>
      <c r="Q1" s="2" t="s">
        <v>45</v>
      </c>
      <c r="R1" s="2"/>
      <c r="S1" s="8" t="s">
        <v>44</v>
      </c>
      <c r="T1" s="8">
        <v>4</v>
      </c>
    </row>
    <row r="2" spans="1:20" ht="15.6" x14ac:dyDescent="0.3">
      <c r="A2" s="10" t="s">
        <v>70</v>
      </c>
      <c r="B2" s="10" t="str">
        <f>VLOOKUP(Table9171921[[#This Row],[Indeks]],spisakStudenata[[Indeks]:[Prezime i ime (latinica)]],3,FALSE)</f>
        <v>Janevski Ivan</v>
      </c>
      <c r="C2" s="10">
        <f>IFERROR(10 * VLOOKUP(Table9171921[[#This Row],[Indeks]],prviKolokvijum[[Indeks]:[K1]],13,FALSE),0)</f>
        <v>41.666666666666671</v>
      </c>
      <c r="D2" s="10">
        <f>IFERROR(VLOOKUP(Table9171921[[#This Row],[Indeks]],drugiKolokvijum[[Indeks]:[Ukupno]],13,FALSE),0)*10</f>
        <v>29.700000000000003</v>
      </c>
      <c r="E2" s="10">
        <f>IFERROR(VLOOKUP(Table9171921[[#This Row],[Indeks]],drugaLaboratorijskaVezba[],14,FALSE),0)</f>
        <v>0</v>
      </c>
      <c r="F2" s="10">
        <f>IFERROR(VLOOKUP(Table9171921[[#This Row],[Indeks]],cetvrtaLaboratorijskaVezba[],14,FALSE),0)</f>
        <v>0</v>
      </c>
      <c r="G2" s="10">
        <f>IFERROR(VLOOKUP(Table9171921[[#This Row],[Indeks]],dz[],4,FALSE),0)</f>
        <v>0</v>
      </c>
      <c r="H2" s="10">
        <f>IFERROR(VLOOKUP(Table9171921[[#This Row],[Indeks]],dz[],5,FALSE),0)</f>
        <v>0</v>
      </c>
      <c r="I2" s="10">
        <f>(MAX(Table9171921[[#This Row],[L2]],Table9171921[[#This Row],[DZ1]])+MAX(Table9171921[[#This Row],[L4]],Table9171921[[#This Row],[DZ2]]))/2</f>
        <v>0</v>
      </c>
      <c r="J2" s="10">
        <f>(Table9171921[[#This Row],[DZ1]]+Table9171921[[#This Row],[DZ2]])/2</f>
        <v>0</v>
      </c>
      <c r="K2" s="10" cm="1">
        <f t="array" ref="K2">MAX((Table9171921[[#This Row],[K1]]+Table9171921[[#This Row],[K2]])/2,IFERROR(INDEX(ispit[Ukupno], MATCH(Table9171921[[#This Row],[Indeks]]&amp;"1",ispit[Indeks]&amp;ispit[Rok],0)),0)*10)</f>
        <v>49</v>
      </c>
      <c r="L2" s="10" cm="1">
        <f t="array" ref="L2">IF(MAX(ROW(ispit[Indeks]) * (Table9171921[[#This Row],[Indeks]]=ispit[Indeks]) * ($T$1&gt;=ispit[Rok])) &gt; 0,10 * INDEX(ispit[Ukupno],SUMPRODUCT(MAX(ROW(ispit[Indeks]) * (Table9171921[[#This Row],[Indeks]]=ispit[Indeks]) * ($T$1&gt;=ispit[Rok])) - 1)),0)</f>
        <v>39.4</v>
      </c>
      <c r="M2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0</v>
      </c>
      <c r="N2" s="12">
        <f>IF(OR(Table9171921[[#This Row],[DZ rok]]=$T$1,Table9171921[[#This Row],[I rok]]=$T$1),MEDIAN(5,10,FLOOR((Table9171921[[#This Row],[P]] + 9.99)/10,1)),3)</f>
        <v>3</v>
      </c>
      <c r="O2" s="12"/>
      <c r="P2" s="12" t="str">
        <f>IFERROR(VLOOKUP(Table9171921[[#This Row],[Indeks]],dz[],3,FALSE),"")</f>
        <v/>
      </c>
      <c r="Q2" s="12" cm="1">
        <f t="array" ref="Q2">IF(MAX(ROW(ispit[Indeks]) * (Table9171921[[#This Row],[Indeks]]=ispit[Indeks]) * ($T$1&gt;=ispit[Rok])) &gt; 0,INDEX(ispit[Rok],SUMPRODUCT(MAX(ROW(ispit[Indeks]) * (Table9171921[[#This Row],[Indeks]]=ispit[Indeks]) * ($T$1&gt;=ispit[Rok])) - 1)),0)</f>
        <v>2</v>
      </c>
      <c r="R2" s="2"/>
    </row>
    <row r="3" spans="1:20" ht="15.6" x14ac:dyDescent="0.3">
      <c r="A3" s="10" t="s">
        <v>64</v>
      </c>
      <c r="B3" s="10" t="str">
        <f>VLOOKUP(Table9171921[[#This Row],[Indeks]],spisakStudenata[[Indeks]:[Prezime i ime (latinica)]],3,FALSE)</f>
        <v>Popović Dimitrije</v>
      </c>
      <c r="C3" s="10">
        <f>IFERROR(10 * VLOOKUP(Table9171921[[#This Row],[Indeks]],prviKolokvijum[[Indeks]:[K1]],13,FALSE),0)</f>
        <v>63.000000000000007</v>
      </c>
      <c r="D3" s="10">
        <f>IFERROR(VLOOKUP(Table9171921[[#This Row],[Indeks]],drugiKolokvijum[[Indeks]:[Ukupno]],13,FALSE),0)*10</f>
        <v>12.2</v>
      </c>
      <c r="E3" s="10">
        <f>IFERROR(VLOOKUP(Table9171921[[#This Row],[Indeks]],drugaLaboratorijskaVezba[],14,FALSE),0)</f>
        <v>0</v>
      </c>
      <c r="F3" s="10">
        <f>IFERROR(VLOOKUP(Table9171921[[#This Row],[Indeks]],cetvrtaLaboratorijskaVezba[],14,FALSE),0)</f>
        <v>0</v>
      </c>
      <c r="G3" s="10">
        <f>IFERROR(VLOOKUP(Table9171921[[#This Row],[Indeks]],dz[],4,FALSE),0)</f>
        <v>0</v>
      </c>
      <c r="H3" s="10">
        <f>IFERROR(VLOOKUP(Table9171921[[#This Row],[Indeks]],dz[],5,FALSE),0)</f>
        <v>0</v>
      </c>
      <c r="I3" s="10">
        <f>(MAX(Table9171921[[#This Row],[L2]],Table9171921[[#This Row],[DZ1]])+MAX(Table9171921[[#This Row],[L4]],Table9171921[[#This Row],[DZ2]]))/2</f>
        <v>0</v>
      </c>
      <c r="J3" s="10">
        <f>(Table9171921[[#This Row],[DZ1]]+Table9171921[[#This Row],[DZ2]])/2</f>
        <v>0</v>
      </c>
      <c r="K3" s="10" cm="1">
        <f t="array" ref="K3">MAX((Table9171921[[#This Row],[K1]]+Table9171921[[#This Row],[K2]])/2,IFERROR(INDEX(ispit[Ukupno], MATCH(Table9171921[[#This Row],[Indeks]]&amp;"1",ispit[Indeks]&amp;ispit[Rok],0)),0)*10)</f>
        <v>37.6</v>
      </c>
      <c r="L3" s="10" cm="1">
        <f t="array" ref="L3">IF(MAX(ROW(ispit[Indeks]) * (Table9171921[[#This Row],[Indeks]]=ispit[Indeks]) * ($T$1&gt;=ispit[Rok])) &gt; 0,10 * INDEX(ispit[Ukupno],SUMPRODUCT(MAX(ROW(ispit[Indeks]) * (Table9171921[[#This Row],[Indeks]]=ispit[Indeks]) * ($T$1&gt;=ispit[Rok])) - 1)),0)</f>
        <v>0</v>
      </c>
      <c r="M3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0</v>
      </c>
      <c r="N3" s="12">
        <f>IF(OR(Table9171921[[#This Row],[DZ rok]]=$T$1,Table9171921[[#This Row],[I rok]]=$T$1),MEDIAN(5,10,FLOOR((Table9171921[[#This Row],[P]] + 9.99)/10,1)),3)</f>
        <v>3</v>
      </c>
      <c r="O3" s="12"/>
      <c r="P3" s="12" t="str">
        <f>IFERROR(VLOOKUP(Table9171921[[#This Row],[Indeks]],dz[],3,FALSE),"")</f>
        <v/>
      </c>
      <c r="Q3" s="12" cm="1">
        <f t="array" ref="Q3">IF(MAX(ROW(ispit[Indeks]) * (Table9171921[[#This Row],[Indeks]]=ispit[Indeks]) * ($T$1&gt;=ispit[Rok])) &gt; 0,INDEX(ispit[Rok],SUMPRODUCT(MAX(ROW(ispit[Indeks]) * (Table9171921[[#This Row],[Indeks]]=ispit[Indeks]) * ($T$1&gt;=ispit[Rok])) - 1)),0)</f>
        <v>0</v>
      </c>
      <c r="R3" s="2"/>
    </row>
    <row r="4" spans="1:20" ht="15.6" x14ac:dyDescent="0.3">
      <c r="A4" s="10" t="s">
        <v>68</v>
      </c>
      <c r="B4" s="10" t="str">
        <f>VLOOKUP(Table9171921[[#This Row],[Indeks]],spisakStudenata[[Indeks]:[Prezime i ime (latinica)]],3,FALSE)</f>
        <v>Marjanović Ivana</v>
      </c>
      <c r="C4" s="10">
        <f>IFERROR(10 * VLOOKUP(Table9171921[[#This Row],[Indeks]],prviKolokvijum[[Indeks]:[K1]],13,FALSE),0)</f>
        <v>0</v>
      </c>
      <c r="D4" s="10">
        <f>IFERROR(VLOOKUP(Table9171921[[#This Row],[Indeks]],drugiKolokvijum[[Indeks]:[Ukupno]],13,FALSE),0)*10</f>
        <v>0</v>
      </c>
      <c r="E4" s="10">
        <f>IFERROR(VLOOKUP(Table9171921[[#This Row],[Indeks]],drugaLaboratorijskaVezba[],14,FALSE),0)</f>
        <v>0</v>
      </c>
      <c r="F4" s="10">
        <f>IFERROR(VLOOKUP(Table9171921[[#This Row],[Indeks]],cetvrtaLaboratorijskaVezba[],14,FALSE),0)</f>
        <v>0</v>
      </c>
      <c r="G4" s="10">
        <f>IFERROR(VLOOKUP(Table9171921[[#This Row],[Indeks]],dz[],4,FALSE),0)</f>
        <v>0</v>
      </c>
      <c r="H4" s="10">
        <f>IFERROR(VLOOKUP(Table9171921[[#This Row],[Indeks]],dz[],5,FALSE),0)</f>
        <v>0</v>
      </c>
      <c r="I4" s="10">
        <f>(MAX(Table9171921[[#This Row],[L2]],Table9171921[[#This Row],[DZ1]])+MAX(Table9171921[[#This Row],[L4]],Table9171921[[#This Row],[DZ2]]))/2</f>
        <v>0</v>
      </c>
      <c r="J4" s="10">
        <f>(Table9171921[[#This Row],[DZ1]]+Table9171921[[#This Row],[DZ2]])/2</f>
        <v>0</v>
      </c>
      <c r="K4" s="10" cm="1">
        <f t="array" ref="K4">MAX((Table9171921[[#This Row],[K1]]+Table9171921[[#This Row],[K2]])/2,IFERROR(INDEX(ispit[Ukupno], MATCH(Table9171921[[#This Row],[Indeks]]&amp;"1",ispit[Indeks]&amp;ispit[Rok],0)),0)*10)</f>
        <v>29.5</v>
      </c>
      <c r="L4" s="10" cm="1">
        <f t="array" ref="L4">IF(MAX(ROW(ispit[Indeks]) * (Table9171921[[#This Row],[Indeks]]=ispit[Indeks]) * ($T$1&gt;=ispit[Rok])) &gt; 0,10 * INDEX(ispit[Ukupno],SUMPRODUCT(MAX(ROW(ispit[Indeks]) * (Table9171921[[#This Row],[Indeks]]=ispit[Indeks]) * ($T$1&gt;=ispit[Rok])) - 1)),0)</f>
        <v>18.3</v>
      </c>
      <c r="M4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0</v>
      </c>
      <c r="N4" s="12">
        <f>IF(OR(Table9171921[[#This Row],[DZ rok]]=$T$1,Table9171921[[#This Row],[I rok]]=$T$1),MEDIAN(5,10,FLOOR((Table9171921[[#This Row],[P]] + 9.99)/10,1)),3)</f>
        <v>5</v>
      </c>
      <c r="O4" s="12"/>
      <c r="P4" s="12" t="str">
        <f>IFERROR(VLOOKUP(Table9171921[[#This Row],[Indeks]],dz[],3,FALSE),"")</f>
        <v/>
      </c>
      <c r="Q4" s="12" cm="1">
        <f t="array" ref="Q4">IF(MAX(ROW(ispit[Indeks]) * (Table9171921[[#This Row],[Indeks]]=ispit[Indeks]) * ($T$1&gt;=ispit[Rok])) &gt; 0,INDEX(ispit[Rok],SUMPRODUCT(MAX(ROW(ispit[Indeks]) * (Table9171921[[#This Row],[Indeks]]=ispit[Indeks]) * ($T$1&gt;=ispit[Rok])) - 1)),0)</f>
        <v>4</v>
      </c>
      <c r="R4" s="2"/>
    </row>
    <row r="5" spans="1:20" ht="15.6" x14ac:dyDescent="0.3">
      <c r="A5" s="10" t="s">
        <v>106</v>
      </c>
      <c r="B5" s="10" t="str">
        <f>VLOOKUP(Table9171921[[#This Row],[Indeks]],spisakStudenata[[Indeks]:[Prezime i ime (latinica)]],3,FALSE)</f>
        <v>Jovanović Maja</v>
      </c>
      <c r="C5" s="10">
        <f>IFERROR(10 * VLOOKUP(Table9171921[[#This Row],[Indeks]],prviKolokvijum[[Indeks]:[K1]],13,FALSE),0)</f>
        <v>0</v>
      </c>
      <c r="D5" s="10">
        <f>IFERROR(VLOOKUP(Table9171921[[#This Row],[Indeks]],drugiKolokvijum[[Indeks]:[Ukupno]],13,FALSE),0)*10</f>
        <v>0</v>
      </c>
      <c r="E5" s="10">
        <f>IFERROR(VLOOKUP(Table9171921[[#This Row],[Indeks]],drugaLaboratorijskaVezba[],14,FALSE),0)</f>
        <v>0</v>
      </c>
      <c r="F5" s="10">
        <f>IFERROR(VLOOKUP(Table9171921[[#This Row],[Indeks]],cetvrtaLaboratorijskaVezba[],14,FALSE),0)</f>
        <v>0</v>
      </c>
      <c r="G5" s="10">
        <f>IFERROR(VLOOKUP(Table9171921[[#This Row],[Indeks]],dz[],4,FALSE),0)</f>
        <v>0</v>
      </c>
      <c r="H5" s="10">
        <f>IFERROR(VLOOKUP(Table9171921[[#This Row],[Indeks]],dz[],5,FALSE),0)</f>
        <v>0</v>
      </c>
      <c r="I5" s="10">
        <f>(MAX(Table9171921[[#This Row],[L2]],Table9171921[[#This Row],[DZ1]])+MAX(Table9171921[[#This Row],[L4]],Table9171921[[#This Row],[DZ2]]))/2</f>
        <v>0</v>
      </c>
      <c r="J5" s="10">
        <f>(Table9171921[[#This Row],[DZ1]]+Table9171921[[#This Row],[DZ2]])/2</f>
        <v>0</v>
      </c>
      <c r="K5" s="10" cm="1">
        <f t="array" ref="K5">MAX((Table9171921[[#This Row],[K1]]+Table9171921[[#This Row],[K2]])/2,IFERROR(INDEX(ispit[Ukupno], MATCH(Table9171921[[#This Row],[Indeks]]&amp;"1",ispit[Indeks]&amp;ispit[Rok],0)),0)*10)</f>
        <v>57.5</v>
      </c>
      <c r="L5" s="10" cm="1">
        <f t="array" ref="L5">IF(MAX(ROW(ispit[Indeks]) * (Table9171921[[#This Row],[Indeks]]=ispit[Indeks]) * ($T$1&gt;=ispit[Rok])) &gt; 0,10 * INDEX(ispit[Ukupno],SUMPRODUCT(MAX(ROW(ispit[Indeks]) * (Table9171921[[#This Row],[Indeks]]=ispit[Indeks]) * ($T$1&gt;=ispit[Rok])) - 1)),0)</f>
        <v>57.5</v>
      </c>
      <c r="M5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0</v>
      </c>
      <c r="N5" s="12">
        <f>IF(OR(Table9171921[[#This Row],[DZ rok]]=$T$1,Table9171921[[#This Row],[I rok]]=$T$1),MEDIAN(5,10,FLOOR((Table9171921[[#This Row],[P]] + 9.99)/10,1)),3)</f>
        <v>3</v>
      </c>
      <c r="O5" s="12"/>
      <c r="P5" s="12" t="str">
        <f>IFERROR(VLOOKUP(Table9171921[[#This Row],[Indeks]],dz[],3,FALSE),"")</f>
        <v/>
      </c>
      <c r="Q5" s="12" cm="1">
        <f t="array" ref="Q5">IF(MAX(ROW(ispit[Indeks]) * (Table9171921[[#This Row],[Indeks]]=ispit[Indeks]) * ($T$1&gt;=ispit[Rok])) &gt; 0,INDEX(ispit[Rok],SUMPRODUCT(MAX(ROW(ispit[Indeks]) * (Table9171921[[#This Row],[Indeks]]=ispit[Indeks]) * ($T$1&gt;=ispit[Rok])) - 1)),0)</f>
        <v>1</v>
      </c>
      <c r="R5" s="2"/>
      <c r="S5" s="1" t="s">
        <v>27</v>
      </c>
      <c r="T5" s="1" t="s">
        <v>26</v>
      </c>
    </row>
    <row r="6" spans="1:20" ht="15.6" x14ac:dyDescent="0.3">
      <c r="A6" s="10" t="s">
        <v>102</v>
      </c>
      <c r="B6" s="10" t="str">
        <f>VLOOKUP(Table9171921[[#This Row],[Indeks]],spisakStudenata[[Indeks]:[Prezime i ime (latinica)]],3,FALSE)</f>
        <v>Vojinović Marko</v>
      </c>
      <c r="C6" s="10">
        <f>IFERROR(10 * VLOOKUP(Table9171921[[#This Row],[Indeks]],prviKolokvijum[[Indeks]:[K1]],13,FALSE),0)</f>
        <v>63.000000000000007</v>
      </c>
      <c r="D6" s="10">
        <f>IFERROR(VLOOKUP(Table9171921[[#This Row],[Indeks]],drugiKolokvijum[[Indeks]:[Ukupno]],13,FALSE),0)*10</f>
        <v>30.1</v>
      </c>
      <c r="E6" s="10">
        <f>IFERROR(VLOOKUP(Table9171921[[#This Row],[Indeks]],drugaLaboratorijskaVezba[],14,FALSE),0)</f>
        <v>0</v>
      </c>
      <c r="F6" s="10">
        <f>IFERROR(VLOOKUP(Table9171921[[#This Row],[Indeks]],cetvrtaLaboratorijskaVezba[],14,FALSE),0)</f>
        <v>0</v>
      </c>
      <c r="G6" s="10">
        <f>IFERROR(VLOOKUP(Table9171921[[#This Row],[Indeks]],dz[],4,FALSE),0)</f>
        <v>90</v>
      </c>
      <c r="H6" s="10">
        <f>IFERROR(VLOOKUP(Table9171921[[#This Row],[Indeks]],dz[],5,FALSE),0)</f>
        <v>80</v>
      </c>
      <c r="I6" s="10">
        <f>(MAX(Table9171921[[#This Row],[L2]],Table9171921[[#This Row],[DZ1]])+MAX(Table9171921[[#This Row],[L4]],Table9171921[[#This Row],[DZ2]]))/2</f>
        <v>85</v>
      </c>
      <c r="J6" s="10">
        <f>(Table9171921[[#This Row],[DZ1]]+Table9171921[[#This Row],[DZ2]])/2</f>
        <v>85</v>
      </c>
      <c r="K6" s="10" cm="1">
        <f t="array" ref="K6">MAX((Table9171921[[#This Row],[K1]]+Table9171921[[#This Row],[K2]])/2,IFERROR(INDEX(ispit[Ukupno], MATCH(Table9171921[[#This Row],[Indeks]]&amp;"1",ispit[Indeks]&amp;ispit[Rok],0)),0)*10)</f>
        <v>46.550000000000004</v>
      </c>
      <c r="L6" s="10" cm="1">
        <f t="array" ref="L6">IF(MAX(ROW(ispit[Indeks]) * (Table9171921[[#This Row],[Indeks]]=ispit[Indeks]) * ($T$1&gt;=ispit[Rok])) &gt; 0,10 * INDEX(ispit[Ukupno],SUMPRODUCT(MAX(ROW(ispit[Indeks]) * (Table9171921[[#This Row],[Indeks]]=ispit[Indeks]) * ($T$1&gt;=ispit[Rok])) - 1)),0)</f>
        <v>40.099999999999994</v>
      </c>
      <c r="M6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63.84</v>
      </c>
      <c r="N6" s="12">
        <f>IF(OR(Table9171921[[#This Row],[DZ rok]]=$T$1,Table9171921[[#This Row],[I rok]]=$T$1),MEDIAN(5,10,FLOOR((Table9171921[[#This Row],[P]] + 9.99)/10,1)),3)</f>
        <v>3</v>
      </c>
      <c r="O6" s="12"/>
      <c r="P6" s="12">
        <f>IFERROR(VLOOKUP(Table9171921[[#This Row],[Indeks]],dz[],3,FALSE),"")</f>
        <v>3</v>
      </c>
      <c r="Q6" s="12" cm="1">
        <f t="array" ref="Q6">IF(MAX(ROW(ispit[Indeks]) * (Table9171921[[#This Row],[Indeks]]=ispit[Indeks]) * ($T$1&gt;=ispit[Rok])) &gt; 0,INDEX(ispit[Rok],SUMPRODUCT(MAX(ROW(ispit[Indeks]) * (Table9171921[[#This Row],[Indeks]]=ispit[Indeks]) * ($T$1&gt;=ispit[Rok])) - 1)),0)</f>
        <v>1</v>
      </c>
      <c r="R6" s="2"/>
      <c r="S6" s="1">
        <v>5</v>
      </c>
      <c r="T6" s="1">
        <f>COUNTIF(Table9171921[Ocena],Table11182022[[#This Row],[Ocena]])</f>
        <v>1</v>
      </c>
    </row>
    <row r="7" spans="1:20" ht="15.6" x14ac:dyDescent="0.3">
      <c r="A7" s="10" t="s">
        <v>110</v>
      </c>
      <c r="B7" s="10" t="str">
        <f>VLOOKUP(Table9171921[[#This Row],[Indeks]],spisakStudenata[[Indeks]:[Prezime i ime (latinica)]],3,FALSE)</f>
        <v>Mandušić Danilo</v>
      </c>
      <c r="C7" s="10">
        <f>IFERROR(10 * VLOOKUP(Table9171921[[#This Row],[Indeks]],prviKolokvijum[[Indeks]:[K1]],13,FALSE),0)</f>
        <v>42.555555555555557</v>
      </c>
      <c r="D7" s="10">
        <f>IFERROR(VLOOKUP(Table9171921[[#This Row],[Indeks]],drugiKolokvijum[[Indeks]:[Ukupno]],13,FALSE),0)*10</f>
        <v>18.599999999999998</v>
      </c>
      <c r="E7" s="10">
        <f>IFERROR(VLOOKUP(Table9171921[[#This Row],[Indeks]],drugaLaboratorijskaVezba[],14,FALSE),0)</f>
        <v>0</v>
      </c>
      <c r="F7" s="10">
        <f>IFERROR(VLOOKUP(Table9171921[[#This Row],[Indeks]],cetvrtaLaboratorijskaVezba[],14,FALSE),0)</f>
        <v>0</v>
      </c>
      <c r="G7" s="10">
        <f>IFERROR(VLOOKUP(Table9171921[[#This Row],[Indeks]],dz[],4,FALSE),0)</f>
        <v>70</v>
      </c>
      <c r="H7" s="10">
        <f>IFERROR(VLOOKUP(Table9171921[[#This Row],[Indeks]],dz[],5,FALSE),0)</f>
        <v>90</v>
      </c>
      <c r="I7" s="10">
        <f>(MAX(Table9171921[[#This Row],[L2]],Table9171921[[#This Row],[DZ1]])+MAX(Table9171921[[#This Row],[L4]],Table9171921[[#This Row],[DZ2]]))/2</f>
        <v>80</v>
      </c>
      <c r="J7" s="10">
        <f>(Table9171921[[#This Row],[DZ1]]+Table9171921[[#This Row],[DZ2]])/2</f>
        <v>80</v>
      </c>
      <c r="K7" s="10" cm="1">
        <f t="array" ref="K7">MAX((Table9171921[[#This Row],[K1]]+Table9171921[[#This Row],[K2]])/2,IFERROR(INDEX(ispit[Ukupno], MATCH(Table9171921[[#This Row],[Indeks]]&amp;"1",ispit[Indeks]&amp;ispit[Rok],0)),0)*10)</f>
        <v>30.577777777777776</v>
      </c>
      <c r="L7" s="10" cm="1">
        <f t="array" ref="L7">IF(MAX(ROW(ispit[Indeks]) * (Table9171921[[#This Row],[Indeks]]=ispit[Indeks]) * ($T$1&gt;=ispit[Rok])) &gt; 0,10 * INDEX(ispit[Ukupno],SUMPRODUCT(MAX(ROW(ispit[Indeks]) * (Table9171921[[#This Row],[Indeks]]=ispit[Indeks]) * ($T$1&gt;=ispit[Rok])) - 1)),0)</f>
        <v>48.3</v>
      </c>
      <c r="M7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60.605555555555554</v>
      </c>
      <c r="N7" s="12">
        <f>IF(OR(Table9171921[[#This Row],[DZ rok]]=$T$1,Table9171921[[#This Row],[I rok]]=$T$1),MEDIAN(5,10,FLOOR((Table9171921[[#This Row],[P]] + 9.99)/10,1)),3)</f>
        <v>7</v>
      </c>
      <c r="O7" s="12"/>
      <c r="P7" s="12">
        <f>IFERROR(VLOOKUP(Table9171921[[#This Row],[Indeks]],dz[],3,FALSE),"")</f>
        <v>3</v>
      </c>
      <c r="Q7" s="12" cm="1">
        <f t="array" ref="Q7">IF(MAX(ROW(ispit[Indeks]) * (Table9171921[[#This Row],[Indeks]]=ispit[Indeks]) * ($T$1&gt;=ispit[Rok])) &gt; 0,INDEX(ispit[Rok],SUMPRODUCT(MAX(ROW(ispit[Indeks]) * (Table9171921[[#This Row],[Indeks]]=ispit[Indeks]) * ($T$1&gt;=ispit[Rok])) - 1)),0)</f>
        <v>4</v>
      </c>
      <c r="R7" s="2"/>
      <c r="S7" s="1">
        <v>6</v>
      </c>
      <c r="T7" s="1">
        <f>COUNTIF(Table9171921[Ocena],Table11182022[[#This Row],[Ocena]])</f>
        <v>0</v>
      </c>
    </row>
    <row r="8" spans="1:20" ht="15.6" x14ac:dyDescent="0.3">
      <c r="A8" s="10" t="s">
        <v>112</v>
      </c>
      <c r="B8" s="10" t="str">
        <f>VLOOKUP(Table9171921[[#This Row],[Indeks]],spisakStudenata[[Indeks]:[Prezime i ime (latinica)]],3,FALSE)</f>
        <v>Dragutinović Marko</v>
      </c>
      <c r="C8" s="10">
        <f>IFERROR(10 * VLOOKUP(Table9171921[[#This Row],[Indeks]],prviKolokvijum[[Indeks]:[K1]],13,FALSE),0)</f>
        <v>52.777777777777779</v>
      </c>
      <c r="D8" s="10">
        <f>IFERROR(VLOOKUP(Table9171921[[#This Row],[Indeks]],drugiKolokvijum[[Indeks]:[Ukupno]],13,FALSE),0)*10</f>
        <v>0</v>
      </c>
      <c r="E8" s="10">
        <f>IFERROR(VLOOKUP(Table9171921[[#This Row],[Indeks]],drugaLaboratorijskaVezba[],14,FALSE),0)</f>
        <v>0</v>
      </c>
      <c r="F8" s="10">
        <f>IFERROR(VLOOKUP(Table9171921[[#This Row],[Indeks]],cetvrtaLaboratorijskaVezba[],14,FALSE),0)</f>
        <v>0</v>
      </c>
      <c r="G8" s="10">
        <f>IFERROR(VLOOKUP(Table9171921[[#This Row],[Indeks]],dz[],4,FALSE),0)</f>
        <v>0</v>
      </c>
      <c r="H8" s="10">
        <f>IFERROR(VLOOKUP(Table9171921[[#This Row],[Indeks]],dz[],5,FALSE),0)</f>
        <v>0</v>
      </c>
      <c r="I8" s="10">
        <f>(MAX(Table9171921[[#This Row],[L2]],Table9171921[[#This Row],[DZ1]])+MAX(Table9171921[[#This Row],[L4]],Table9171921[[#This Row],[DZ2]]))/2</f>
        <v>0</v>
      </c>
      <c r="J8" s="10">
        <f>(Table9171921[[#This Row],[DZ1]]+Table9171921[[#This Row],[DZ2]])/2</f>
        <v>0</v>
      </c>
      <c r="K8" s="10" cm="1">
        <f t="array" ref="K8">MAX((Table9171921[[#This Row],[K1]]+Table9171921[[#This Row],[K2]])/2,IFERROR(INDEX(ispit[Ukupno], MATCH(Table9171921[[#This Row],[Indeks]]&amp;"1",ispit[Indeks]&amp;ispit[Rok],0)),0)*10)</f>
        <v>26.388888888888889</v>
      </c>
      <c r="L8" s="10" cm="1">
        <f t="array" ref="L8">IF(MAX(ROW(ispit[Indeks]) * (Table9171921[[#This Row],[Indeks]]=ispit[Indeks]) * ($T$1&gt;=ispit[Rok])) &gt; 0,10 * INDEX(ispit[Ukupno],SUMPRODUCT(MAX(ROW(ispit[Indeks]) * (Table9171921[[#This Row],[Indeks]]=ispit[Indeks]) * ($T$1&gt;=ispit[Rok])) - 1)),0)</f>
        <v>42.699999999999996</v>
      </c>
      <c r="M8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0</v>
      </c>
      <c r="N8" s="12">
        <f>IF(OR(Table9171921[[#This Row],[DZ rok]]=$T$1,Table9171921[[#This Row],[I rok]]=$T$1),MEDIAN(5,10,FLOOR((Table9171921[[#This Row],[P]] + 9.99)/10,1)),3)</f>
        <v>3</v>
      </c>
      <c r="O8" s="12"/>
      <c r="P8" s="12" t="str">
        <f>IFERROR(VLOOKUP(Table9171921[[#This Row],[Indeks]],dz[],3,FALSE),"")</f>
        <v/>
      </c>
      <c r="Q8" s="12" cm="1">
        <f t="array" ref="Q8">IF(MAX(ROW(ispit[Indeks]) * (Table9171921[[#This Row],[Indeks]]=ispit[Indeks]) * ($T$1&gt;=ispit[Rok])) &gt; 0,INDEX(ispit[Rok],SUMPRODUCT(MAX(ROW(ispit[Indeks]) * (Table9171921[[#This Row],[Indeks]]=ispit[Indeks]) * ($T$1&gt;=ispit[Rok])) - 1)),0)</f>
        <v>2</v>
      </c>
      <c r="R8" s="2"/>
      <c r="S8" s="1">
        <v>7</v>
      </c>
      <c r="T8" s="1">
        <f>COUNTIF(Table9171921[Ocena],Table11182022[[#This Row],[Ocena]])</f>
        <v>2</v>
      </c>
    </row>
    <row r="9" spans="1:20" ht="15.6" x14ac:dyDescent="0.3">
      <c r="A9" s="10" t="s">
        <v>118</v>
      </c>
      <c r="B9" s="10" t="str">
        <f>VLOOKUP(Table9171921[[#This Row],[Indeks]],spisakStudenata[[Indeks]:[Prezime i ime (latinica)]],3,FALSE)</f>
        <v>Samardžić Lea</v>
      </c>
      <c r="C9" s="10">
        <f>IFERROR(10 * VLOOKUP(Table9171921[[#This Row],[Indeks]],prviKolokvijum[[Indeks]:[K1]],13,FALSE),0)</f>
        <v>72.222222222222229</v>
      </c>
      <c r="D9" s="10">
        <f>IFERROR(VLOOKUP(Table9171921[[#This Row],[Indeks]],drugiKolokvijum[[Indeks]:[Ukupno]],13,FALSE),0)*10</f>
        <v>80</v>
      </c>
      <c r="E9" s="10">
        <f>IFERROR(VLOOKUP(Table9171921[[#This Row],[Indeks]],drugaLaboratorijskaVezba[],14,FALSE),0)</f>
        <v>5</v>
      </c>
      <c r="F9" s="10">
        <f>IFERROR(VLOOKUP(Table9171921[[#This Row],[Indeks]],cetvrtaLaboratorijskaVezba[],14,FALSE),0)</f>
        <v>0</v>
      </c>
      <c r="G9" s="10">
        <f>IFERROR(VLOOKUP(Table9171921[[#This Row],[Indeks]],dz[],4,FALSE),0)</f>
        <v>100</v>
      </c>
      <c r="H9" s="10">
        <f>IFERROR(VLOOKUP(Table9171921[[#This Row],[Indeks]],dz[],5,FALSE),0)</f>
        <v>100</v>
      </c>
      <c r="I9" s="10">
        <f>(MAX(Table9171921[[#This Row],[L2]],Table9171921[[#This Row],[DZ1]])+MAX(Table9171921[[#This Row],[L4]],Table9171921[[#This Row],[DZ2]]))/2</f>
        <v>100</v>
      </c>
      <c r="J9" s="10">
        <f>(Table9171921[[#This Row],[DZ1]]+Table9171921[[#This Row],[DZ2]])/2</f>
        <v>100</v>
      </c>
      <c r="K9" s="10" cm="1">
        <f t="array" ref="K9">MAX((Table9171921[[#This Row],[K1]]+Table9171921[[#This Row],[K2]])/2,IFERROR(INDEX(ispit[Ukupno], MATCH(Table9171921[[#This Row],[Indeks]]&amp;"1",ispit[Indeks]&amp;ispit[Rok],0)),0)*10)</f>
        <v>76.111111111111114</v>
      </c>
      <c r="L9" s="10" cm="1">
        <f t="array" ref="L9">IF(MAX(ROW(ispit[Indeks]) * (Table9171921[[#This Row],[Indeks]]=ispit[Indeks]) * ($T$1&gt;=ispit[Rok])) &gt; 0,10 * INDEX(ispit[Ukupno],SUMPRODUCT(MAX(ROW(ispit[Indeks]) * (Table9171921[[#This Row],[Indeks]]=ispit[Indeks]) * ($T$1&gt;=ispit[Rok])) - 1)),0)</f>
        <v>50.8</v>
      </c>
      <c r="M9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80.462222222222223</v>
      </c>
      <c r="N9" s="12">
        <f>IF(OR(Table9171921[[#This Row],[DZ rok]]=$T$1,Table9171921[[#This Row],[I rok]]=$T$1),MEDIAN(5,10,FLOOR((Table9171921[[#This Row],[P]] + 9.99)/10,1)),3)</f>
        <v>9</v>
      </c>
      <c r="O9" s="12"/>
      <c r="P9" s="12">
        <f>IFERROR(VLOOKUP(Table9171921[[#This Row],[Indeks]],dz[],3,FALSE),"")</f>
        <v>4</v>
      </c>
      <c r="Q9" s="12" cm="1">
        <f t="array" ref="Q9">IF(MAX(ROW(ispit[Indeks]) * (Table9171921[[#This Row],[Indeks]]=ispit[Indeks]) * ($T$1&gt;=ispit[Rok])) &gt; 0,INDEX(ispit[Rok],SUMPRODUCT(MAX(ROW(ispit[Indeks]) * (Table9171921[[#This Row],[Indeks]]=ispit[Indeks]) * ($T$1&gt;=ispit[Rok])) - 1)),0)</f>
        <v>1</v>
      </c>
      <c r="R9" s="2"/>
      <c r="S9" s="1">
        <v>8</v>
      </c>
      <c r="T9" s="1">
        <f>COUNTIF(Table9171921[Ocena],Table11182022[[#This Row],[Ocena]])</f>
        <v>1</v>
      </c>
    </row>
    <row r="10" spans="1:20" ht="15.6" x14ac:dyDescent="0.3">
      <c r="A10" s="10" t="s">
        <v>120</v>
      </c>
      <c r="B10" s="10" t="str">
        <f>VLOOKUP(Table9171921[[#This Row],[Indeks]],spisakStudenata[[Indeks]:[Prezime i ime (latinica)]],3,FALSE)</f>
        <v>Majstorović Ljubica</v>
      </c>
      <c r="C10" s="10">
        <f>IFERROR(10 * VLOOKUP(Table9171921[[#This Row],[Indeks]],prviKolokvijum[[Indeks]:[K1]],13,FALSE),0)</f>
        <v>88.888888888888886</v>
      </c>
      <c r="D10" s="10">
        <f>IFERROR(VLOOKUP(Table9171921[[#This Row],[Indeks]],drugiKolokvijum[[Indeks]:[Ukupno]],13,FALSE),0)*10</f>
        <v>34.300000000000004</v>
      </c>
      <c r="E10" s="10">
        <f>IFERROR(VLOOKUP(Table9171921[[#This Row],[Indeks]],drugaLaboratorijskaVezba[],14,FALSE),0)</f>
        <v>0</v>
      </c>
      <c r="F10" s="10">
        <f>IFERROR(VLOOKUP(Table9171921[[#This Row],[Indeks]],cetvrtaLaboratorijskaVezba[],14,FALSE),0)</f>
        <v>0</v>
      </c>
      <c r="G10" s="10">
        <f>IFERROR(VLOOKUP(Table9171921[[#This Row],[Indeks]],dz[],4,FALSE),0)</f>
        <v>100</v>
      </c>
      <c r="H10" s="10">
        <f>IFERROR(VLOOKUP(Table9171921[[#This Row],[Indeks]],dz[],5,FALSE),0)</f>
        <v>100</v>
      </c>
      <c r="I10" s="10">
        <f>(MAX(Table9171921[[#This Row],[L2]],Table9171921[[#This Row],[DZ1]])+MAX(Table9171921[[#This Row],[L4]],Table9171921[[#This Row],[DZ2]]))/2</f>
        <v>100</v>
      </c>
      <c r="J10" s="10">
        <f>(Table9171921[[#This Row],[DZ1]]+Table9171921[[#This Row],[DZ2]])/2</f>
        <v>100</v>
      </c>
      <c r="K10" s="10" cm="1">
        <f t="array" ref="K10">MAX((Table9171921[[#This Row],[K1]]+Table9171921[[#This Row],[K2]])/2,IFERROR(INDEX(ispit[Ukupno], MATCH(Table9171921[[#This Row],[Indeks]]&amp;"1",ispit[Indeks]&amp;ispit[Rok],0)),0)*10)</f>
        <v>61.594444444444449</v>
      </c>
      <c r="L10" s="10" cm="1">
        <f t="array" ref="L10">IF(MAX(ROW(ispit[Indeks]) * (Table9171921[[#This Row],[Indeks]]=ispit[Indeks]) * ($T$1&gt;=ispit[Rok])) &gt; 0,10 * INDEX(ispit[Ukupno],SUMPRODUCT(MAX(ROW(ispit[Indeks]) * (Table9171921[[#This Row],[Indeks]]=ispit[Indeks]) * ($T$1&gt;=ispit[Rok])) - 1)),0)</f>
        <v>61.7</v>
      </c>
      <c r="M10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80.828888888888898</v>
      </c>
      <c r="N10" s="12">
        <f>IF(OR(Table9171921[[#This Row],[DZ rok]]=$T$1,Table9171921[[#This Row],[I rok]]=$T$1),MEDIAN(5,10,FLOOR((Table9171921[[#This Row],[P]] + 9.99)/10,1)),3)</f>
        <v>9</v>
      </c>
      <c r="O10" s="12"/>
      <c r="P10" s="12">
        <f>IFERROR(VLOOKUP(Table9171921[[#This Row],[Indeks]],dz[],3,FALSE),"")</f>
        <v>4</v>
      </c>
      <c r="Q10" s="12" cm="1">
        <f t="array" ref="Q10">IF(MAX(ROW(ispit[Indeks]) * (Table9171921[[#This Row],[Indeks]]=ispit[Indeks]) * ($T$1&gt;=ispit[Rok])) &gt; 0,INDEX(ispit[Rok],SUMPRODUCT(MAX(ROW(ispit[Indeks]) * (Table9171921[[#This Row],[Indeks]]=ispit[Indeks]) * ($T$1&gt;=ispit[Rok])) - 1)),0)</f>
        <v>4</v>
      </c>
      <c r="R10" s="2"/>
      <c r="S10" s="1">
        <v>9</v>
      </c>
      <c r="T10" s="1">
        <f>COUNTIF(Table9171921[Ocena],Table11182022[[#This Row],[Ocena]])</f>
        <v>2</v>
      </c>
    </row>
    <row r="11" spans="1:20" ht="15.6" x14ac:dyDescent="0.3">
      <c r="A11" s="10" t="s">
        <v>122</v>
      </c>
      <c r="B11" s="10" t="str">
        <f>VLOOKUP(Table9171921[[#This Row],[Indeks]],spisakStudenata[[Indeks]:[Prezime i ime (latinica)]],3,FALSE)</f>
        <v>Jovanović Milena</v>
      </c>
      <c r="C11" s="10">
        <f>IFERROR(10 * VLOOKUP(Table9171921[[#This Row],[Indeks]],prviKolokvijum[[Indeks]:[K1]],13,FALSE),0)</f>
        <v>66.666666666666671</v>
      </c>
      <c r="D11" s="10">
        <f>IFERROR(VLOOKUP(Table9171921[[#This Row],[Indeks]],drugiKolokvijum[[Indeks]:[Ukupno]],13,FALSE),0)*10</f>
        <v>35.699999999999996</v>
      </c>
      <c r="E11" s="10">
        <f>IFERROR(VLOOKUP(Table9171921[[#This Row],[Indeks]],drugaLaboratorijskaVezba[],14,FALSE),0)</f>
        <v>0</v>
      </c>
      <c r="F11" s="10">
        <f>IFERROR(VLOOKUP(Table9171921[[#This Row],[Indeks]],cetvrtaLaboratorijskaVezba[],14,FALSE),0)</f>
        <v>0</v>
      </c>
      <c r="G11" s="10">
        <f>IFERROR(VLOOKUP(Table9171921[[#This Row],[Indeks]],dz[],4,FALSE),0)</f>
        <v>95</v>
      </c>
      <c r="H11" s="10">
        <f>IFERROR(VLOOKUP(Table9171921[[#This Row],[Indeks]],dz[],5,FALSE),0)</f>
        <v>100</v>
      </c>
      <c r="I11" s="10">
        <f>(MAX(Table9171921[[#This Row],[L2]],Table9171921[[#This Row],[DZ1]])+MAX(Table9171921[[#This Row],[L4]],Table9171921[[#This Row],[DZ2]]))/2</f>
        <v>97.5</v>
      </c>
      <c r="J11" s="10">
        <f>(Table9171921[[#This Row],[DZ1]]+Table9171921[[#This Row],[DZ2]])/2</f>
        <v>97.5</v>
      </c>
      <c r="K11" s="10" cm="1">
        <f t="array" ref="K11">MAX((Table9171921[[#This Row],[K1]]+Table9171921[[#This Row],[K2]])/2,IFERROR(INDEX(ispit[Ukupno], MATCH(Table9171921[[#This Row],[Indeks]]&amp;"1",ispit[Indeks]&amp;ispit[Rok],0)),0)*10)</f>
        <v>51.183333333333337</v>
      </c>
      <c r="L11" s="10" cm="1">
        <f t="array" ref="L11">IF(MAX(ROW(ispit[Indeks]) * (Table9171921[[#This Row],[Indeks]]=ispit[Indeks]) * ($T$1&gt;=ispit[Rok])) &gt; 0,10 * INDEX(ispit[Ukupno],SUMPRODUCT(MAX(ROW(ispit[Indeks]) * (Table9171921[[#This Row],[Indeks]]=ispit[Indeks]) * ($T$1&gt;=ispit[Rok])) - 1)),0)</f>
        <v>48.3</v>
      </c>
      <c r="M11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73.476666666666659</v>
      </c>
      <c r="N11" s="12">
        <f>IF(OR(Table9171921[[#This Row],[DZ rok]]=$T$1,Table9171921[[#This Row],[I rok]]=$T$1),MEDIAN(5,10,FLOOR((Table9171921[[#This Row],[P]] + 9.99)/10,1)),3)</f>
        <v>8</v>
      </c>
      <c r="O11" s="12"/>
      <c r="P11" s="12">
        <f>IFERROR(VLOOKUP(Table9171921[[#This Row],[Indeks]],dz[],3,FALSE),"")</f>
        <v>4</v>
      </c>
      <c r="Q11" s="12" cm="1">
        <f t="array" ref="Q11">IF(MAX(ROW(ispit[Indeks]) * (Table9171921[[#This Row],[Indeks]]=ispit[Indeks]) * ($T$1&gt;=ispit[Rok])) &gt; 0,INDEX(ispit[Rok],SUMPRODUCT(MAX(ROW(ispit[Indeks]) * (Table9171921[[#This Row],[Indeks]]=ispit[Indeks]) * ($T$1&gt;=ispit[Rok])) - 1)),0)</f>
        <v>1</v>
      </c>
      <c r="R11" s="2"/>
      <c r="S11" s="1">
        <v>10</v>
      </c>
      <c r="T11" s="1">
        <f>COUNTIF(Table9171921[Ocena],Table11182022[[#This Row],[Ocena]])</f>
        <v>0</v>
      </c>
    </row>
    <row r="12" spans="1:20" ht="15.6" x14ac:dyDescent="0.3">
      <c r="A12" s="10" t="s">
        <v>124</v>
      </c>
      <c r="B12" s="10" t="str">
        <f>VLOOKUP(Table9171921[[#This Row],[Indeks]],spisakStudenata[[Indeks]:[Prezime i ime (latinica)]],3,FALSE)</f>
        <v>Bojović Ana</v>
      </c>
      <c r="C12" s="10">
        <f>IFERROR(10 * VLOOKUP(Table9171921[[#This Row],[Indeks]],prviKolokvijum[[Indeks]:[K1]],13,FALSE),0)</f>
        <v>77.777777777777771</v>
      </c>
      <c r="D12" s="10">
        <f>IFERROR(VLOOKUP(Table9171921[[#This Row],[Indeks]],drugiKolokvijum[[Indeks]:[Ukupno]],13,FALSE),0)*10</f>
        <v>55</v>
      </c>
      <c r="E12" s="10">
        <f>IFERROR(VLOOKUP(Table9171921[[#This Row],[Indeks]],drugaLaboratorijskaVezba[],14,FALSE),0)</f>
        <v>0</v>
      </c>
      <c r="F12" s="10">
        <f>IFERROR(VLOOKUP(Table9171921[[#This Row],[Indeks]],cetvrtaLaboratorijskaVezba[],14,FALSE),0)</f>
        <v>0</v>
      </c>
      <c r="G12" s="10">
        <f>IFERROR(VLOOKUP(Table9171921[[#This Row],[Indeks]],dz[],4,FALSE),0)</f>
        <v>0</v>
      </c>
      <c r="H12" s="10">
        <f>IFERROR(VLOOKUP(Table9171921[[#This Row],[Indeks]],dz[],5,FALSE),0)</f>
        <v>0</v>
      </c>
      <c r="I12" s="10">
        <f>(MAX(Table9171921[[#This Row],[L2]],Table9171921[[#This Row],[DZ1]])+MAX(Table9171921[[#This Row],[L4]],Table9171921[[#This Row],[DZ2]]))/2</f>
        <v>0</v>
      </c>
      <c r="J12" s="10">
        <f>(Table9171921[[#This Row],[DZ1]]+Table9171921[[#This Row],[DZ2]])/2</f>
        <v>0</v>
      </c>
      <c r="K12" s="10" cm="1">
        <f t="array" ref="K12">MAX((Table9171921[[#This Row],[K1]]+Table9171921[[#This Row],[K2]])/2,IFERROR(INDEX(ispit[Ukupno], MATCH(Table9171921[[#This Row],[Indeks]]&amp;"1",ispit[Indeks]&amp;ispit[Rok],0)),0)*10)</f>
        <v>66.388888888888886</v>
      </c>
      <c r="L12" s="10" cm="1">
        <f t="array" ref="L12">IF(MAX(ROW(ispit[Indeks]) * (Table9171921[[#This Row],[Indeks]]=ispit[Indeks]) * ($T$1&gt;=ispit[Rok])) &gt; 0,10 * INDEX(ispit[Ukupno],SUMPRODUCT(MAX(ROW(ispit[Indeks]) * (Table9171921[[#This Row],[Indeks]]=ispit[Indeks]) * ($T$1&gt;=ispit[Rok])) - 1)),0)</f>
        <v>61.7</v>
      </c>
      <c r="M12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0</v>
      </c>
      <c r="N12" s="12">
        <f>IF(OR(Table9171921[[#This Row],[DZ rok]]=$T$1,Table9171921[[#This Row],[I rok]]=$T$1),MEDIAN(5,10,FLOOR((Table9171921[[#This Row],[P]] + 9.99)/10,1)),3)</f>
        <v>3</v>
      </c>
      <c r="O12" s="12"/>
      <c r="P12" s="12" t="str">
        <f>IFERROR(VLOOKUP(Table9171921[[#This Row],[Indeks]],dz[],3,FALSE),"")</f>
        <v/>
      </c>
      <c r="Q12" s="12" cm="1">
        <f t="array" ref="Q12">IF(MAX(ROW(ispit[Indeks]) * (Table9171921[[#This Row],[Indeks]]=ispit[Indeks]) * ($T$1&gt;=ispit[Rok])) &gt; 0,INDEX(ispit[Rok],SUMPRODUCT(MAX(ROW(ispit[Indeks]) * (Table9171921[[#This Row],[Indeks]]=ispit[Indeks]) * ($T$1&gt;=ispit[Rok])) - 1)),0)</f>
        <v>1</v>
      </c>
      <c r="R12" s="2"/>
      <c r="S12" s="1"/>
    </row>
    <row r="13" spans="1:20" ht="15.6" x14ac:dyDescent="0.3">
      <c r="A13" s="10" t="s">
        <v>126</v>
      </c>
      <c r="B13" s="10" t="str">
        <f>VLOOKUP(Table9171921[[#This Row],[Indeks]],spisakStudenata[[Indeks]:[Prezime i ime (latinica)]],3,FALSE)</f>
        <v>Đurić Anja</v>
      </c>
      <c r="C13" s="10">
        <f>IFERROR(10 * VLOOKUP(Table9171921[[#This Row],[Indeks]],prviKolokvijum[[Indeks]:[K1]],13,FALSE),0)</f>
        <v>41.666666666666671</v>
      </c>
      <c r="D13" s="10">
        <f>IFERROR(VLOOKUP(Table9171921[[#This Row],[Indeks]],drugiKolokvijum[[Indeks]:[Ukupno]],13,FALSE),0)*10</f>
        <v>76.100000000000009</v>
      </c>
      <c r="E13" s="10">
        <f>IFERROR(VLOOKUP(Table9171921[[#This Row],[Indeks]],drugaLaboratorijskaVezba[],14,FALSE),0)</f>
        <v>0</v>
      </c>
      <c r="F13" s="10">
        <f>IFERROR(VLOOKUP(Table9171921[[#This Row],[Indeks]],cetvrtaLaboratorijskaVezba[],14,FALSE),0)</f>
        <v>0</v>
      </c>
      <c r="G13" s="10">
        <f>IFERROR(VLOOKUP(Table9171921[[#This Row],[Indeks]],dz[],4,FALSE),0)</f>
        <v>0</v>
      </c>
      <c r="H13" s="10">
        <f>IFERROR(VLOOKUP(Table9171921[[#This Row],[Indeks]],dz[],5,FALSE),0)</f>
        <v>0</v>
      </c>
      <c r="I13" s="10">
        <f>(MAX(Table9171921[[#This Row],[L2]],Table9171921[[#This Row],[DZ1]])+MAX(Table9171921[[#This Row],[L4]],Table9171921[[#This Row],[DZ2]]))/2</f>
        <v>0</v>
      </c>
      <c r="J13" s="10">
        <f>(Table9171921[[#This Row],[DZ1]]+Table9171921[[#This Row],[DZ2]])/2</f>
        <v>0</v>
      </c>
      <c r="K13" s="10" cm="1">
        <f t="array" ref="K13">MAX((Table9171921[[#This Row],[K1]]+Table9171921[[#This Row],[K2]])/2,IFERROR(INDEX(ispit[Ukupno], MATCH(Table9171921[[#This Row],[Indeks]]&amp;"1",ispit[Indeks]&amp;ispit[Rok],0)),0)*10)</f>
        <v>59.2</v>
      </c>
      <c r="L13" s="10" cm="1">
        <f t="array" ref="L13">IF(MAX(ROW(ispit[Indeks]) * (Table9171921[[#This Row],[Indeks]]=ispit[Indeks]) * ($T$1&gt;=ispit[Rok])) &gt; 0,10 * INDEX(ispit[Ukupno],SUMPRODUCT(MAX(ROW(ispit[Indeks]) * (Table9171921[[#This Row],[Indeks]]=ispit[Indeks]) * ($T$1&gt;=ispit[Rok])) - 1)),0)</f>
        <v>59.2</v>
      </c>
      <c r="M13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0</v>
      </c>
      <c r="N13" s="12">
        <f>IF(OR(Table9171921[[#This Row],[DZ rok]]=$T$1,Table9171921[[#This Row],[I rok]]=$T$1),MEDIAN(5,10,FLOOR((Table9171921[[#This Row],[P]] + 9.99)/10,1)),3)</f>
        <v>3</v>
      </c>
      <c r="O13" s="12"/>
      <c r="P13" s="12" t="str">
        <f>IFERROR(VLOOKUP(Table9171921[[#This Row],[Indeks]],dz[],3,FALSE),"")</f>
        <v/>
      </c>
      <c r="Q13" s="12" cm="1">
        <f t="array" ref="Q13">IF(MAX(ROW(ispit[Indeks]) * (Table9171921[[#This Row],[Indeks]]=ispit[Indeks]) * ($T$1&gt;=ispit[Rok])) &gt; 0,INDEX(ispit[Rok],SUMPRODUCT(MAX(ROW(ispit[Indeks]) * (Table9171921[[#This Row],[Indeks]]=ispit[Indeks]) * ($T$1&gt;=ispit[Rok])) - 1)),0)</f>
        <v>1</v>
      </c>
      <c r="R13" s="2"/>
      <c r="S13" s="1"/>
    </row>
    <row r="14" spans="1:20" ht="15.6" x14ac:dyDescent="0.3">
      <c r="A14" s="10" t="s">
        <v>87</v>
      </c>
      <c r="B14" s="10" t="str">
        <f>VLOOKUP(Table9171921[[#This Row],[Indeks]],spisakStudenata[[Indeks]:[Prezime i ime (latinica)]],3,FALSE)</f>
        <v>Mihailo Folić</v>
      </c>
      <c r="C14" s="10">
        <f>IFERROR(10 * VLOOKUP(Table9171921[[#This Row],[Indeks]],prviKolokvijum[[Indeks]:[K1]],13,FALSE),0)</f>
        <v>0</v>
      </c>
      <c r="D14" s="10">
        <f>IFERROR(VLOOKUP(Table9171921[[#This Row],[Indeks]],drugiKolokvijum[[Indeks]:[Ukupno]],13,FALSE),0)*10</f>
        <v>0</v>
      </c>
      <c r="E14" s="10">
        <f>IFERROR(VLOOKUP(Table9171921[[#This Row],[Indeks]],drugaLaboratorijskaVezba[],14,FALSE),0)</f>
        <v>0</v>
      </c>
      <c r="F14" s="10">
        <f>IFERROR(VLOOKUP(Table9171921[[#This Row],[Indeks]],cetvrtaLaboratorijskaVezba[],14,FALSE),0)</f>
        <v>0</v>
      </c>
      <c r="G14" s="10">
        <f>IFERROR(VLOOKUP(Table9171921[[#This Row],[Indeks]],dz[],4,FALSE),0)</f>
        <v>95</v>
      </c>
      <c r="H14" s="10">
        <f>IFERROR(VLOOKUP(Table9171921[[#This Row],[Indeks]],dz[],5,FALSE),0)</f>
        <v>100</v>
      </c>
      <c r="I14" s="10">
        <f>(MAX(Table9171921[[#This Row],[L2]],Table9171921[[#This Row],[DZ1]])+MAX(Table9171921[[#This Row],[L4]],Table9171921[[#This Row],[DZ2]]))/2</f>
        <v>97.5</v>
      </c>
      <c r="J14" s="10">
        <f>(Table9171921[[#This Row],[DZ1]]+Table9171921[[#This Row],[DZ2]])/2</f>
        <v>97.5</v>
      </c>
      <c r="K14" s="10" cm="1">
        <f t="array" ref="K14">MAX((Table9171921[[#This Row],[K1]]+Table9171921[[#This Row],[K2]])/2,IFERROR(INDEX(ispit[Ukupno], MATCH(Table9171921[[#This Row],[Indeks]]&amp;"1",ispit[Indeks]&amp;ispit[Rok],0)),0)*10)</f>
        <v>0</v>
      </c>
      <c r="L14" s="10" cm="1">
        <f t="array" ref="L14">IF(MAX(ROW(ispit[Indeks]) * (Table9171921[[#This Row],[Indeks]]=ispit[Indeks]) * ($T$1&gt;=ispit[Rok])) &gt; 0,10 * INDEX(ispit[Ukupno],SUMPRODUCT(MAX(ROW(ispit[Indeks]) * (Table9171921[[#This Row],[Indeks]]=ispit[Indeks]) * ($T$1&gt;=ispit[Rok])) - 1)),0)</f>
        <v>51.7</v>
      </c>
      <c r="M14" s="10">
        <f>IF(AND(Table9171921[[#This Row],[L]]&gt;=40,Table9171921[[#This Row],[I]]&gt;=40),0.2*Table9171921[[#This Row],[L]]+0.3*Table9171921[[#This Row],[D]]+0.2*Table9171921[[#This Row],[K]]+0.3*Table9171921[[#This Row],[I]]+Table9171921[[#This Row],[Dodato]],0)</f>
        <v>64.260000000000005</v>
      </c>
      <c r="N14" s="12">
        <f>IF(OR(Table9171921[[#This Row],[DZ rok]]=$T$1,Table9171921[[#This Row],[I rok]]=$T$1),MEDIAN(5,10,FLOOR((Table9171921[[#This Row],[P]] + 9.99)/10,1)),3)</f>
        <v>7</v>
      </c>
      <c r="O14" s="12"/>
      <c r="P14" s="12">
        <f>IFERROR(VLOOKUP(Table9171921[[#This Row],[Indeks]],dz[],3,FALSE),"")</f>
        <v>4</v>
      </c>
      <c r="Q14" s="12" cm="1">
        <f t="array" ref="Q14">IF(MAX(ROW(ispit[Indeks]) * (Table9171921[[#This Row],[Indeks]]=ispit[Indeks]) * ($T$1&gt;=ispit[Rok])) &gt; 0,INDEX(ispit[Rok],SUMPRODUCT(MAX(ROW(ispit[Indeks]) * (Table9171921[[#This Row],[Indeks]]=ispit[Indeks]) * ($T$1&gt;=ispit[Rok])) - 1)),0)</f>
        <v>4</v>
      </c>
      <c r="R14" s="2"/>
      <c r="S14" s="1"/>
    </row>
    <row r="15" spans="1:20" ht="15.6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2"/>
      <c r="S15" s="1"/>
    </row>
    <row r="16" spans="1:20" ht="15.6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2"/>
      <c r="S16" s="1"/>
    </row>
    <row r="17" spans="1:19" ht="15.6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2"/>
      <c r="S17" s="1"/>
    </row>
    <row r="18" spans="1:19" ht="15.6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2"/>
      <c r="S18" s="1"/>
    </row>
    <row r="19" spans="1:19" ht="15.6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2"/>
      <c r="S19" s="1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</row>
    <row r="21" spans="1:19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</row>
    <row r="22" spans="1:19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</row>
    <row r="23" spans="1:19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</row>
    <row r="24" spans="1:19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</row>
    <row r="25" spans="1:19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</row>
    <row r="26" spans="1:19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</row>
    <row r="27" spans="1:19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</row>
    <row r="28" spans="1:19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</row>
    <row r="29" spans="1:19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</row>
    <row r="30" spans="1:19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</row>
    <row r="31" spans="1:19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</row>
    <row r="32" spans="1:19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</row>
    <row r="33" spans="1:19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</row>
    <row r="34" spans="1:19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</row>
    <row r="35" spans="1:19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</row>
    <row r="36" spans="1:19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</row>
    <row r="37" spans="1:19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</row>
    <row r="38" spans="1:19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</row>
    <row r="39" spans="1:19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</row>
    <row r="40" spans="1:19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</sheetData>
  <printOptions horizontalCentered="1"/>
  <pageMargins left="0.25" right="0.25" top="0.75" bottom="0.75" header="0.3" footer="0.3"/>
  <pageSetup paperSize="9" scale="54" orientation="landscape" r:id="rId1"/>
  <headerFooter>
    <oddHeader>&amp;CRačunarska grafika
Septembarski ispitni rok</oddHeader>
  </headerFooter>
  <colBreaks count="1" manualBreakCount="1">
    <brk id="15" max="1048575" man="1"/>
  </colBreaks>
  <drawing r:id="rId2"/>
  <tableParts count="2">
    <tablePart r:id="rId3"/>
    <tablePart r:id="rId4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F91F5-3A42-4AE7-86CB-CDFB3ECEDF00}">
  <sheetPr>
    <pageSetUpPr fitToPage="1"/>
  </sheetPr>
  <dimension ref="A1:T40"/>
  <sheetViews>
    <sheetView zoomScaleNormal="100" workbookViewId="0">
      <selection activeCell="N14" sqref="N14"/>
    </sheetView>
  </sheetViews>
  <sheetFormatPr defaultRowHeight="14.4" x14ac:dyDescent="0.3"/>
  <cols>
    <col min="1" max="1" width="10.77734375" bestFit="1" customWidth="1"/>
    <col min="2" max="2" width="20.109375" bestFit="1" customWidth="1"/>
  </cols>
  <sheetData>
    <row r="1" spans="1:20" ht="15.6" x14ac:dyDescent="0.3">
      <c r="A1" s="2" t="s">
        <v>0</v>
      </c>
      <c r="B1" s="2" t="s">
        <v>1</v>
      </c>
      <c r="C1" s="2" t="s">
        <v>31</v>
      </c>
      <c r="D1" s="2" t="s">
        <v>32</v>
      </c>
      <c r="E1" s="2" t="s">
        <v>33</v>
      </c>
      <c r="F1" s="2" t="s">
        <v>34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27</v>
      </c>
      <c r="O1" s="2" t="s">
        <v>54</v>
      </c>
      <c r="P1" s="2" t="s">
        <v>46</v>
      </c>
      <c r="Q1" s="2" t="s">
        <v>45</v>
      </c>
      <c r="R1" s="2"/>
      <c r="S1" s="8" t="s">
        <v>44</v>
      </c>
      <c r="T1" s="8">
        <v>5</v>
      </c>
    </row>
    <row r="2" spans="1:20" ht="15.6" x14ac:dyDescent="0.3">
      <c r="A2" s="2"/>
      <c r="B2" s="2" t="e">
        <f>VLOOKUP(Table917192123[[#This Row],[Indeks]],spisakStudenata[[Indeks]:[Prezime i ime (latinica)]],3,FALSE)</f>
        <v>#N/A</v>
      </c>
      <c r="C2" s="10">
        <f>IFERROR(10 * VLOOKUP(Table917192123[[#This Row],[Indeks]],prviKolokvijum[[Indeks]:[K1]],13,FALSE),0)</f>
        <v>0</v>
      </c>
      <c r="D2" s="2">
        <f>IFERROR(VLOOKUP(Table917192123[[#This Row],[Indeks]],drugiKolokvijum[[Indeks]:[Ukupno]],13,FALSE),0)*10</f>
        <v>0</v>
      </c>
      <c r="E2" s="2">
        <f>IFERROR(VLOOKUP(Table917192123[[#This Row],[Indeks]],drugaLaboratorijskaVezba[],14,FALSE),0)</f>
        <v>0</v>
      </c>
      <c r="F2" s="2">
        <f>IFERROR(VLOOKUP(Table917192123[[#This Row],[Indeks]],cetvrtaLaboratorijskaVezba[],14,FALSE),0)</f>
        <v>0</v>
      </c>
      <c r="G2" s="2">
        <f>IFERROR(VLOOKUP(Table917192123[[#This Row],[Indeks]],dz[],4,FALSE),0)</f>
        <v>0</v>
      </c>
      <c r="H2" s="2">
        <f>IFERROR(VLOOKUP(Table917192123[[#This Row],[Indeks]],dz[],5,FALSE),0)</f>
        <v>0</v>
      </c>
      <c r="I2" s="2">
        <f>(MAX(Table917192123[[#This Row],[L2]],Table917192123[[#This Row],[DZ1]])+MAX(Table917192123[[#This Row],[L4]],Table917192123[[#This Row],[DZ2]]))/2</f>
        <v>0</v>
      </c>
      <c r="J2" s="2">
        <f>(Table917192123[[#This Row],[DZ1]]+Table917192123[[#This Row],[DZ2]])/2</f>
        <v>0</v>
      </c>
      <c r="K2" s="10" cm="1">
        <f t="array" ref="K2">MAX((Table917192123[[#This Row],[K1]]+Table917192123[[#This Row],[K2]])/2,IFERROR(INDEX(ispit[Ukupno], MATCH(Table917192123[[#This Row],[Indeks]]&amp;"1",ispit[Indeks]&amp;ispit[Rok],0)),0)*10)</f>
        <v>0</v>
      </c>
      <c r="L2" s="2" cm="1">
        <f t="array" ref="L2">IF(MAX(ROW(ispit[Indeks]) * (Table917192123[[#This Row],[Indeks]]=ispit[Indeks]) * ($T$1&gt;=ispit[Rok])) &gt; 0,10 * INDEX(ispit[Ukupno],SUMPRODUCT(MAX(ROW(ispit[Indeks]) * (Table917192123[[#This Row],[Indeks]]=ispit[Indeks]) * ($T$1&gt;=ispit[Rok])) - 1)),0)</f>
        <v>0</v>
      </c>
      <c r="M2" s="2">
        <f>IF(AND(Table917192123[[#This Row],[L]]&gt;=40,Table917192123[[#This Row],[I]]&gt;=40),0.2*Table917192123[[#This Row],[L]]+0.3*Table917192123[[#This Row],[D]]+0.2*Table917192123[[#This Row],[K]]+0.3*Table917192123[[#This Row],[I]]+Table917192123[[#This Row],[Dodato]],0)</f>
        <v>0</v>
      </c>
      <c r="N2" s="2">
        <f>IF(OR(Table917192123[[#This Row],[DZ rok]]=$S$1,Table917192123[[#This Row],[I rok]]=$S$1),MEDIAN(5,10,FLOOR((Table917192123[[#This Row],[P]] + 9.99)/10,1)),3)</f>
        <v>3</v>
      </c>
      <c r="O2" s="2"/>
      <c r="P2" s="2" t="str">
        <f>IFERROR(VLOOKUP(Table917192123[[#This Row],[Indeks]],dz[],3,FALSE),"")</f>
        <v/>
      </c>
      <c r="Q2" s="2" cm="1">
        <f t="array" ref="Q2">IF(MAX(ROW(ispit[Indeks]) * (Table917192123[[#This Row],[Indeks]]=ispit[Indeks]) * ($T$1&gt;=ispit[Rok])) &gt; 0,INDEX(ispit[Rok],SUMPRODUCT(MAX(ROW(ispit[Indeks]) * (Table917192123[[#This Row],[Indeks]]=ispit[Indeks]) * ($T$1&gt;=ispit[Rok])) - 1)),0)</f>
        <v>0</v>
      </c>
      <c r="R2" s="2"/>
    </row>
    <row r="3" spans="1:20" ht="15.6" x14ac:dyDescent="0.3">
      <c r="A3" s="2"/>
      <c r="B3" s="2" t="e">
        <f>VLOOKUP(Table917192123[[#This Row],[Indeks]],spisakStudenata[[Indeks]:[Prezime i ime (latinica)]],3,FALSE)</f>
        <v>#N/A</v>
      </c>
      <c r="C3" s="10">
        <f>IFERROR(10 * VLOOKUP(Table917192123[[#This Row],[Indeks]],prviKolokvijum[[Indeks]:[K1]],13,FALSE),0)</f>
        <v>0</v>
      </c>
      <c r="D3" s="2">
        <f>IFERROR(VLOOKUP(Table917192123[[#This Row],[Indeks]],drugiKolokvijum[[Indeks]:[Ukupno]],13,FALSE),0)*10</f>
        <v>0</v>
      </c>
      <c r="E3" s="2">
        <f>IFERROR(VLOOKUP(Table917192123[[#This Row],[Indeks]],drugaLaboratorijskaVezba[],14,FALSE),0)</f>
        <v>0</v>
      </c>
      <c r="F3" s="2">
        <f>IFERROR(VLOOKUP(Table917192123[[#This Row],[Indeks]],cetvrtaLaboratorijskaVezba[],14,FALSE),0)</f>
        <v>0</v>
      </c>
      <c r="G3" s="2">
        <f>IFERROR(VLOOKUP(Table917192123[[#This Row],[Indeks]],dz[],4,FALSE),0)</f>
        <v>0</v>
      </c>
      <c r="H3" s="2">
        <f>IFERROR(VLOOKUP(Table917192123[[#This Row],[Indeks]],dz[],5,FALSE),0)</f>
        <v>0</v>
      </c>
      <c r="I3" s="2">
        <f>(MAX(Table917192123[[#This Row],[L2]],Table917192123[[#This Row],[DZ1]])+MAX(Table917192123[[#This Row],[L4]],Table917192123[[#This Row],[DZ2]]))/2</f>
        <v>0</v>
      </c>
      <c r="J3" s="2">
        <f>(Table917192123[[#This Row],[DZ1]]+Table917192123[[#This Row],[DZ2]])/2</f>
        <v>0</v>
      </c>
      <c r="K3" s="10" cm="1">
        <f t="array" ref="K3">MAX((Table917192123[[#This Row],[K1]]+Table917192123[[#This Row],[K2]])/2,IFERROR(INDEX(ispit[Ukupno], MATCH(Table917192123[[#This Row],[Indeks]]&amp;"1",ispit[Indeks]&amp;ispit[Rok],0)),0)*10)</f>
        <v>0</v>
      </c>
      <c r="L3" s="2" cm="1">
        <f t="array" ref="L3">IF(MAX(ROW(ispit[Indeks]) * (Table917192123[[#This Row],[Indeks]]=ispit[Indeks]) * ($T$1&gt;=ispit[Rok])) &gt; 0,10 * INDEX(ispit[Ukupno],SUMPRODUCT(MAX(ROW(ispit[Indeks]) * (Table917192123[[#This Row],[Indeks]]=ispit[Indeks]) * ($T$1&gt;=ispit[Rok])) - 1)),0)</f>
        <v>0</v>
      </c>
      <c r="M3" s="2">
        <f>IF(AND(Table917192123[[#This Row],[L]]&gt;=40,Table917192123[[#This Row],[I]]&gt;=40),0.2*Table917192123[[#This Row],[L]]+0.3*Table917192123[[#This Row],[D]]+0.2*Table917192123[[#This Row],[K]]+0.3*Table917192123[[#This Row],[I]]+Table917192123[[#This Row],[Dodato]],0)</f>
        <v>0</v>
      </c>
      <c r="N3" s="2">
        <f>IF(OR(Table917192123[[#This Row],[DZ rok]]=$S$1,Table917192123[[#This Row],[I rok]]=$S$1),MEDIAN(5,10,FLOOR((Table917192123[[#This Row],[P]] + 9.99)/10,1)),3)</f>
        <v>3</v>
      </c>
      <c r="O3" s="2"/>
      <c r="P3" s="2" t="str">
        <f>IFERROR(VLOOKUP(Table917192123[[#This Row],[Indeks]],dz[],3,FALSE),"")</f>
        <v/>
      </c>
      <c r="Q3" s="2" cm="1">
        <f t="array" ref="Q3">IF(MAX(ROW(ispit[Indeks]) * (Table917192123[[#This Row],[Indeks]]=ispit[Indeks]) * ($T$1&gt;=ispit[Rok])) &gt; 0,INDEX(ispit[Rok],SUMPRODUCT(MAX(ROW(ispit[Indeks]) * (Table917192123[[#This Row],[Indeks]]=ispit[Indeks]) * ($T$1&gt;=ispit[Rok])) - 1)),0)</f>
        <v>0</v>
      </c>
      <c r="R3" s="2"/>
    </row>
    <row r="4" spans="1:20" ht="15.6" x14ac:dyDescent="0.3">
      <c r="A4" s="2"/>
      <c r="B4" s="2" t="e">
        <f>VLOOKUP(Table917192123[[#This Row],[Indeks]],spisakStudenata[[Indeks]:[Prezime i ime (latinica)]],3,FALSE)</f>
        <v>#N/A</v>
      </c>
      <c r="C4" s="10">
        <f>IFERROR(10 * VLOOKUP(Table917192123[[#This Row],[Indeks]],prviKolokvijum[[Indeks]:[K1]],13,FALSE),0)</f>
        <v>0</v>
      </c>
      <c r="D4" s="2">
        <f>IFERROR(VLOOKUP(Table917192123[[#This Row],[Indeks]],drugiKolokvijum[[Indeks]:[Ukupno]],13,FALSE),0)*10</f>
        <v>0</v>
      </c>
      <c r="E4" s="2">
        <f>IFERROR(VLOOKUP(Table917192123[[#This Row],[Indeks]],drugaLaboratorijskaVezba[],14,FALSE),0)</f>
        <v>0</v>
      </c>
      <c r="F4" s="2">
        <f>IFERROR(VLOOKUP(Table917192123[[#This Row],[Indeks]],cetvrtaLaboratorijskaVezba[],14,FALSE),0)</f>
        <v>0</v>
      </c>
      <c r="G4" s="2">
        <f>IFERROR(VLOOKUP(Table917192123[[#This Row],[Indeks]],dz[],4,FALSE),0)</f>
        <v>0</v>
      </c>
      <c r="H4" s="2">
        <f>IFERROR(VLOOKUP(Table917192123[[#This Row],[Indeks]],dz[],5,FALSE),0)</f>
        <v>0</v>
      </c>
      <c r="I4" s="2">
        <f>(MAX(Table917192123[[#This Row],[L2]],Table917192123[[#This Row],[DZ1]])+MAX(Table917192123[[#This Row],[L4]],Table917192123[[#This Row],[DZ2]]))/2</f>
        <v>0</v>
      </c>
      <c r="J4" s="2">
        <f>(Table917192123[[#This Row],[DZ1]]+Table917192123[[#This Row],[DZ2]])/2</f>
        <v>0</v>
      </c>
      <c r="K4" s="10" cm="1">
        <f t="array" ref="K4">MAX((Table917192123[[#This Row],[K1]]+Table917192123[[#This Row],[K2]])/2,IFERROR(INDEX(ispit[Ukupno], MATCH(Table917192123[[#This Row],[Indeks]]&amp;"1",ispit[Indeks]&amp;ispit[Rok],0)),0)*10)</f>
        <v>0</v>
      </c>
      <c r="L4" s="2" cm="1">
        <f t="array" ref="L4">IF(MAX(ROW(ispit[Indeks]) * (Table917192123[[#This Row],[Indeks]]=ispit[Indeks]) * ($T$1&gt;=ispit[Rok])) &gt; 0,10 * INDEX(ispit[Ukupno],SUMPRODUCT(MAX(ROW(ispit[Indeks]) * (Table917192123[[#This Row],[Indeks]]=ispit[Indeks]) * ($T$1&gt;=ispit[Rok])) - 1)),0)</f>
        <v>0</v>
      </c>
      <c r="M4" s="2">
        <f>IF(AND(Table917192123[[#This Row],[L]]&gt;=40,Table917192123[[#This Row],[I]]&gt;=40),0.2*Table917192123[[#This Row],[L]]+0.3*Table917192123[[#This Row],[D]]+0.2*Table917192123[[#This Row],[K]]+0.3*Table917192123[[#This Row],[I]]+Table917192123[[#This Row],[Dodato]],0)</f>
        <v>0</v>
      </c>
      <c r="N4" s="2">
        <f>IF(OR(Table917192123[[#This Row],[DZ rok]]=$S$1,Table917192123[[#This Row],[I rok]]=$S$1),MEDIAN(5,10,FLOOR((Table917192123[[#This Row],[P]] + 9.99)/10,1)),3)</f>
        <v>3</v>
      </c>
      <c r="O4" s="2"/>
      <c r="P4" s="2" t="str">
        <f>IFERROR(VLOOKUP(Table917192123[[#This Row],[Indeks]],dz[],3,FALSE),"")</f>
        <v/>
      </c>
      <c r="Q4" s="2" cm="1">
        <f t="array" ref="Q4">IF(MAX(ROW(ispit[Indeks]) * (Table917192123[[#This Row],[Indeks]]=ispit[Indeks]) * ($T$1&gt;=ispit[Rok])) &gt; 0,INDEX(ispit[Rok],SUMPRODUCT(MAX(ROW(ispit[Indeks]) * (Table917192123[[#This Row],[Indeks]]=ispit[Indeks]) * ($T$1&gt;=ispit[Rok])) - 1)),0)</f>
        <v>0</v>
      </c>
      <c r="R4" s="2"/>
    </row>
    <row r="5" spans="1:20" ht="15.6" x14ac:dyDescent="0.3">
      <c r="A5" s="2"/>
      <c r="B5" s="2" t="e">
        <f>VLOOKUP(Table917192123[[#This Row],[Indeks]],spisakStudenata[[Indeks]:[Prezime i ime (latinica)]],3,FALSE)</f>
        <v>#N/A</v>
      </c>
      <c r="C5" s="10">
        <f>IFERROR(10 * VLOOKUP(Table917192123[[#This Row],[Indeks]],prviKolokvijum[[Indeks]:[K1]],13,FALSE),0)</f>
        <v>0</v>
      </c>
      <c r="D5" s="2">
        <f>IFERROR(VLOOKUP(Table917192123[[#This Row],[Indeks]],drugiKolokvijum[[Indeks]:[Ukupno]],13,FALSE),0)*10</f>
        <v>0</v>
      </c>
      <c r="E5" s="2">
        <f>IFERROR(VLOOKUP(Table917192123[[#This Row],[Indeks]],drugaLaboratorijskaVezba[],14,FALSE),0)</f>
        <v>0</v>
      </c>
      <c r="F5" s="2">
        <f>IFERROR(VLOOKUP(Table917192123[[#This Row],[Indeks]],cetvrtaLaboratorijskaVezba[],14,FALSE),0)</f>
        <v>0</v>
      </c>
      <c r="G5" s="2">
        <f>IFERROR(VLOOKUP(Table917192123[[#This Row],[Indeks]],dz[],4,FALSE),0)</f>
        <v>0</v>
      </c>
      <c r="H5" s="2">
        <f>IFERROR(VLOOKUP(Table917192123[[#This Row],[Indeks]],dz[],5,FALSE),0)</f>
        <v>0</v>
      </c>
      <c r="I5" s="2">
        <f>(MAX(Table917192123[[#This Row],[L2]],Table917192123[[#This Row],[DZ1]])+MAX(Table917192123[[#This Row],[L4]],Table917192123[[#This Row],[DZ2]]))/2</f>
        <v>0</v>
      </c>
      <c r="J5" s="2">
        <f>(Table917192123[[#This Row],[DZ1]]+Table917192123[[#This Row],[DZ2]])/2</f>
        <v>0</v>
      </c>
      <c r="K5" s="10" cm="1">
        <f t="array" ref="K5">MAX((Table917192123[[#This Row],[K1]]+Table917192123[[#This Row],[K2]])/2,IFERROR(INDEX(ispit[Ukupno], MATCH(Table917192123[[#This Row],[Indeks]]&amp;"1",ispit[Indeks]&amp;ispit[Rok],0)),0)*10)</f>
        <v>0</v>
      </c>
      <c r="L5" s="2" cm="1">
        <f t="array" ref="L5">IF(MAX(ROW(ispit[Indeks]) * (Table917192123[[#This Row],[Indeks]]=ispit[Indeks]) * ($T$1&gt;=ispit[Rok])) &gt; 0,10 * INDEX(ispit[Ukupno],SUMPRODUCT(MAX(ROW(ispit[Indeks]) * (Table917192123[[#This Row],[Indeks]]=ispit[Indeks]) * ($T$1&gt;=ispit[Rok])) - 1)),0)</f>
        <v>0</v>
      </c>
      <c r="M5" s="2">
        <f>IF(AND(Table917192123[[#This Row],[L]]&gt;=40,Table917192123[[#This Row],[I]]&gt;=40),0.2*Table917192123[[#This Row],[L]]+0.3*Table917192123[[#This Row],[D]]+0.2*Table917192123[[#This Row],[K]]+0.3*Table917192123[[#This Row],[I]]+Table917192123[[#This Row],[Dodato]],0)</f>
        <v>0</v>
      </c>
      <c r="N5" s="2">
        <f>IF(OR(Table917192123[[#This Row],[DZ rok]]=$S$1,Table917192123[[#This Row],[I rok]]=$S$1),MEDIAN(5,10,FLOOR((Table917192123[[#This Row],[P]] + 9.99)/10,1)),3)</f>
        <v>3</v>
      </c>
      <c r="O5" s="2"/>
      <c r="P5" s="2" t="str">
        <f>IFERROR(VLOOKUP(Table917192123[[#This Row],[Indeks]],dz[],3,FALSE),"")</f>
        <v/>
      </c>
      <c r="Q5" s="2" cm="1">
        <f t="array" ref="Q5">IF(MAX(ROW(ispit[Indeks]) * (Table917192123[[#This Row],[Indeks]]=ispit[Indeks]) * ($T$1&gt;=ispit[Rok])) &gt; 0,INDEX(ispit[Rok],SUMPRODUCT(MAX(ROW(ispit[Indeks]) * (Table917192123[[#This Row],[Indeks]]=ispit[Indeks]) * ($T$1&gt;=ispit[Rok])) - 1)),0)</f>
        <v>0</v>
      </c>
      <c r="R5" s="2"/>
      <c r="S5" s="1" t="s">
        <v>27</v>
      </c>
      <c r="T5" s="1" t="s">
        <v>26</v>
      </c>
    </row>
    <row r="6" spans="1:20" ht="15.6" x14ac:dyDescent="0.3">
      <c r="A6" s="2"/>
      <c r="B6" s="2" t="e">
        <f>VLOOKUP(Table917192123[[#This Row],[Indeks]],spisakStudenata[[Indeks]:[Prezime i ime (latinica)]],3,FALSE)</f>
        <v>#N/A</v>
      </c>
      <c r="C6" s="10">
        <f>IFERROR(10 * VLOOKUP(Table917192123[[#This Row],[Indeks]],prviKolokvijum[[Indeks]:[K1]],13,FALSE),0)</f>
        <v>0</v>
      </c>
      <c r="D6" s="2">
        <f>IFERROR(VLOOKUP(Table917192123[[#This Row],[Indeks]],drugiKolokvijum[[Indeks]:[Ukupno]],13,FALSE),0)*10</f>
        <v>0</v>
      </c>
      <c r="E6" s="2">
        <f>IFERROR(VLOOKUP(Table917192123[[#This Row],[Indeks]],drugaLaboratorijskaVezba[],14,FALSE),0)</f>
        <v>0</v>
      </c>
      <c r="F6" s="2">
        <f>IFERROR(VLOOKUP(Table917192123[[#This Row],[Indeks]],cetvrtaLaboratorijskaVezba[],14,FALSE),0)</f>
        <v>0</v>
      </c>
      <c r="G6" s="2">
        <f>IFERROR(VLOOKUP(Table917192123[[#This Row],[Indeks]],dz[],4,FALSE),0)</f>
        <v>0</v>
      </c>
      <c r="H6" s="2">
        <f>IFERROR(VLOOKUP(Table917192123[[#This Row],[Indeks]],dz[],5,FALSE),0)</f>
        <v>0</v>
      </c>
      <c r="I6" s="2">
        <f>(MAX(Table917192123[[#This Row],[L2]],Table917192123[[#This Row],[DZ1]])+MAX(Table917192123[[#This Row],[L4]],Table917192123[[#This Row],[DZ2]]))/2</f>
        <v>0</v>
      </c>
      <c r="J6" s="2">
        <f>(Table917192123[[#This Row],[DZ1]]+Table917192123[[#This Row],[DZ2]])/2</f>
        <v>0</v>
      </c>
      <c r="K6" s="10" cm="1">
        <f t="array" ref="K6">MAX((Table917192123[[#This Row],[K1]]+Table917192123[[#This Row],[K2]])/2,IFERROR(INDEX(ispit[Ukupno], MATCH(Table917192123[[#This Row],[Indeks]]&amp;"1",ispit[Indeks]&amp;ispit[Rok],0)),0)*10)</f>
        <v>0</v>
      </c>
      <c r="L6" s="2" cm="1">
        <f t="array" ref="L6">IF(MAX(ROW(ispit[Indeks]) * (Table917192123[[#This Row],[Indeks]]=ispit[Indeks]) * ($T$1&gt;=ispit[Rok])) &gt; 0,10 * INDEX(ispit[Ukupno],SUMPRODUCT(MAX(ROW(ispit[Indeks]) * (Table917192123[[#This Row],[Indeks]]=ispit[Indeks]) * ($T$1&gt;=ispit[Rok])) - 1)),0)</f>
        <v>0</v>
      </c>
      <c r="M6" s="2">
        <f>IF(AND(Table917192123[[#This Row],[L]]&gt;=40,Table917192123[[#This Row],[I]]&gt;=40),0.2*Table917192123[[#This Row],[L]]+0.3*Table917192123[[#This Row],[D]]+0.2*Table917192123[[#This Row],[K]]+0.3*Table917192123[[#This Row],[I]]+Table917192123[[#This Row],[Dodato]],0)</f>
        <v>0</v>
      </c>
      <c r="N6" s="2">
        <f>IF(OR(Table917192123[[#This Row],[DZ rok]]=$S$1,Table917192123[[#This Row],[I rok]]=$S$1),MEDIAN(5,10,FLOOR((Table917192123[[#This Row],[P]] + 9.99)/10,1)),3)</f>
        <v>3</v>
      </c>
      <c r="O6" s="2"/>
      <c r="P6" s="2" t="str">
        <f>IFERROR(VLOOKUP(Table917192123[[#This Row],[Indeks]],dz[],3,FALSE),"")</f>
        <v/>
      </c>
      <c r="Q6" s="2" cm="1">
        <f t="array" ref="Q6">IF(MAX(ROW(ispit[Indeks]) * (Table917192123[[#This Row],[Indeks]]=ispit[Indeks]) * ($T$1&gt;=ispit[Rok])) &gt; 0,INDEX(ispit[Rok],SUMPRODUCT(MAX(ROW(ispit[Indeks]) * (Table917192123[[#This Row],[Indeks]]=ispit[Indeks]) * ($T$1&gt;=ispit[Rok])) - 1)),0)</f>
        <v>0</v>
      </c>
      <c r="R6" s="2"/>
      <c r="S6" s="1">
        <v>5</v>
      </c>
      <c r="T6" s="1">
        <f>COUNTIF(Table917192123[Ocena],Table1118202224[[#This Row],[Ocena]])</f>
        <v>0</v>
      </c>
    </row>
    <row r="7" spans="1:20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1">
        <v>6</v>
      </c>
      <c r="T7" s="1">
        <f>COUNTIF(Table917192123[Ocena],Table1118202224[[#This Row],[Ocena]])</f>
        <v>0</v>
      </c>
    </row>
    <row r="8" spans="1:20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1">
        <v>7</v>
      </c>
      <c r="T8" s="1">
        <f>COUNTIF(Table917192123[Ocena],Table1118202224[[#This Row],[Ocena]])</f>
        <v>0</v>
      </c>
    </row>
    <row r="9" spans="1:20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1">
        <v>8</v>
      </c>
      <c r="T9" s="1">
        <f>COUNTIF(Table917192123[Ocena],Table1118202224[[#This Row],[Ocena]])</f>
        <v>0</v>
      </c>
    </row>
    <row r="10" spans="1:20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1">
        <v>9</v>
      </c>
      <c r="T10" s="1">
        <f>COUNTIF(Table917192123[Ocena],Table1118202224[[#This Row],[Ocena]])</f>
        <v>0</v>
      </c>
    </row>
    <row r="11" spans="1:20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1">
        <v>10</v>
      </c>
      <c r="T11" s="1">
        <f>COUNTIF(Table917192123[Ocena],Table1118202224[[#This Row],[Ocena]])</f>
        <v>0</v>
      </c>
    </row>
    <row r="12" spans="1:20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1"/>
    </row>
    <row r="13" spans="1:20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</row>
    <row r="14" spans="1:20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1"/>
    </row>
    <row r="15" spans="1:20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</row>
    <row r="16" spans="1:20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1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1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</row>
    <row r="21" spans="1:19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</row>
    <row r="22" spans="1:19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</row>
    <row r="23" spans="1:19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</row>
    <row r="24" spans="1:19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</row>
    <row r="25" spans="1:19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</row>
    <row r="26" spans="1:19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</row>
    <row r="27" spans="1:19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</row>
    <row r="28" spans="1:19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</row>
    <row r="29" spans="1:19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</row>
    <row r="30" spans="1:19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</row>
    <row r="31" spans="1:19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</row>
    <row r="32" spans="1:19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</row>
    <row r="33" spans="1:19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</row>
    <row r="34" spans="1:19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</row>
    <row r="35" spans="1:19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</row>
    <row r="36" spans="1:19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</row>
    <row r="37" spans="1:19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</row>
    <row r="38" spans="1:19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</row>
    <row r="39" spans="1:19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</row>
    <row r="40" spans="1:19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</sheetData>
  <printOptions horizontalCentered="1"/>
  <pageMargins left="0.25" right="0.25" top="0.75" bottom="0.75" header="0.3" footer="0.3"/>
  <pageSetup paperSize="9" scale="54" orientation="landscape" r:id="rId1"/>
  <headerFooter>
    <oddHeader>&amp;CRačunarska grafika
Septembarski ispitni rok</oddHeader>
  </headerFooter>
  <colBreaks count="1" manualBreakCount="1">
    <brk id="15" max="1048575" man="1"/>
  </colBreaks>
  <drawing r:id="rId2"/>
  <tableParts count="2">
    <tablePart r:id="rId3"/>
    <tablePart r:id="rId4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3A71E-3E60-4913-A28E-D52EF7E00638}">
  <sheetPr>
    <pageSetUpPr fitToPage="1"/>
  </sheetPr>
  <dimension ref="A1:T40"/>
  <sheetViews>
    <sheetView zoomScaleNormal="100" workbookViewId="0">
      <selection activeCell="N19" sqref="N19"/>
    </sheetView>
  </sheetViews>
  <sheetFormatPr defaultRowHeight="14.4" x14ac:dyDescent="0.3"/>
  <cols>
    <col min="1" max="1" width="11.5546875" bestFit="1" customWidth="1"/>
    <col min="2" max="2" width="20.109375" bestFit="1" customWidth="1"/>
    <col min="3" max="3" width="13.44140625" bestFit="1" customWidth="1"/>
    <col min="4" max="4" width="7.88671875" bestFit="1" customWidth="1"/>
    <col min="5" max="6" width="7.5546875" bestFit="1" customWidth="1"/>
    <col min="7" max="8" width="9.21875" bestFit="1" customWidth="1"/>
    <col min="9" max="10" width="7.109375" bestFit="1" customWidth="1"/>
    <col min="11" max="11" width="6.77734375" bestFit="1" customWidth="1"/>
    <col min="12" max="12" width="6.109375" bestFit="1" customWidth="1"/>
    <col min="13" max="13" width="13.44140625" bestFit="1" customWidth="1"/>
    <col min="14" max="14" width="11.44140625" bestFit="1" customWidth="1"/>
    <col min="15" max="15" width="12.5546875" bestFit="1" customWidth="1"/>
    <col min="16" max="16" width="11.77734375" bestFit="1" customWidth="1"/>
    <col min="17" max="17" width="9.77734375" bestFit="1" customWidth="1"/>
    <col min="19" max="19" width="10.77734375" bestFit="1" customWidth="1"/>
  </cols>
  <sheetData>
    <row r="1" spans="1:20" ht="15.6" x14ac:dyDescent="0.3">
      <c r="A1" s="2" t="s">
        <v>0</v>
      </c>
      <c r="B1" s="2" t="s">
        <v>1</v>
      </c>
      <c r="C1" s="2" t="s">
        <v>31</v>
      </c>
      <c r="D1" s="2" t="s">
        <v>32</v>
      </c>
      <c r="E1" s="2" t="s">
        <v>33</v>
      </c>
      <c r="F1" s="2" t="s">
        <v>34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27</v>
      </c>
      <c r="O1" s="2" t="s">
        <v>54</v>
      </c>
      <c r="P1" s="2" t="s">
        <v>46</v>
      </c>
      <c r="Q1" s="2" t="s">
        <v>45</v>
      </c>
      <c r="R1" s="2"/>
      <c r="S1" s="8" t="s">
        <v>44</v>
      </c>
      <c r="T1" s="8">
        <v>6</v>
      </c>
    </row>
    <row r="2" spans="1:20" ht="15.6" x14ac:dyDescent="0.3">
      <c r="A2" s="10"/>
      <c r="B2" s="10" t="e">
        <f>VLOOKUP(Table91719212325[[#This Row],[Indeks]],spisakStudenata[[Indeks]:[Prezime i ime (latinica)]],3,FALSE)</f>
        <v>#N/A</v>
      </c>
      <c r="C2" s="10">
        <f>IFERROR(10 * VLOOKUP(Table91719212325[[#This Row],[Indeks]],prviKolokvijum[[Indeks]:[K1]],13,FALSE),0)</f>
        <v>0</v>
      </c>
      <c r="D2" s="10">
        <f>IFERROR(VLOOKUP(Table91719212325[[#This Row],[Indeks]],drugiKolokvijum[[Indeks]:[Ukupno]],13,FALSE),0)*10</f>
        <v>0</v>
      </c>
      <c r="E2" s="10">
        <f>IFERROR(VLOOKUP(Table91719212325[[#This Row],[Indeks]],drugaLaboratorijskaVezba[],14,FALSE),0)</f>
        <v>0</v>
      </c>
      <c r="F2" s="10">
        <f>IFERROR(VLOOKUP(Table91719212325[[#This Row],[Indeks]],cetvrtaLaboratorijskaVezba[],14,FALSE),0)</f>
        <v>0</v>
      </c>
      <c r="G2" s="10">
        <f>IFERROR(VLOOKUP(Table91719212325[[#This Row],[Indeks]],dz[],4,FALSE),0)</f>
        <v>0</v>
      </c>
      <c r="H2" s="10">
        <f>IFERROR(VLOOKUP(Table91719212325[[#This Row],[Indeks]],dz[],5,FALSE),0)</f>
        <v>0</v>
      </c>
      <c r="I2" s="10">
        <f>(MAX(Table91719212325[[#This Row],[L2]],Table91719212325[[#This Row],[DZ1]])+MAX(Table91719212325[[#This Row],[L4]],Table91719212325[[#This Row],[DZ2]]))/2</f>
        <v>0</v>
      </c>
      <c r="J2" s="10">
        <f>(Table91719212325[[#This Row],[DZ1]]+Table91719212325[[#This Row],[DZ2]])/2</f>
        <v>0</v>
      </c>
      <c r="K2" s="10" cm="1">
        <f t="array" ref="K2">MAX((Table91719212325[[#This Row],[K1]]+Table91719212325[[#This Row],[K2]])/2,IFERROR(INDEX(ispit[Ukupno], MATCH(Table91719212325[[#This Row],[Indeks]]&amp;"1",ispit[Indeks]&amp;ispit[Rok],0)),0)*10)</f>
        <v>0</v>
      </c>
      <c r="L2" s="10" cm="1">
        <f t="array" ref="L2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2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2" s="10">
        <f>IF(OR(Table91719212325[[#This Row],[DZ rok]]=$S$1,Table91719212325[[#This Row],[I rok]]=$S$1),MEDIAN(5,10,FLOOR((Table91719212325[[#This Row],[P]] + 9.99)/10,1)),3)</f>
        <v>3</v>
      </c>
      <c r="O2" s="10"/>
      <c r="P2" s="10" t="str">
        <f>IFERROR(VLOOKUP(Table91719212325[[#This Row],[Indeks]],dz[],3,FALSE),"")</f>
        <v/>
      </c>
      <c r="Q2" s="10" cm="1">
        <f t="array" ref="Q2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2" s="2"/>
    </row>
    <row r="3" spans="1:20" ht="15.6" x14ac:dyDescent="0.3">
      <c r="A3" s="10"/>
      <c r="B3" s="10" t="e">
        <f>VLOOKUP(Table91719212325[[#This Row],[Indeks]],spisakStudenata[[Indeks]:[Prezime i ime (latinica)]],3,FALSE)</f>
        <v>#N/A</v>
      </c>
      <c r="C3" s="10">
        <f>IFERROR(10 * VLOOKUP(Table91719212325[[#This Row],[Indeks]],prviKolokvijum[[Indeks]:[K1]],13,FALSE),0)</f>
        <v>0</v>
      </c>
      <c r="D3" s="10">
        <f>IFERROR(VLOOKUP(Table91719212325[[#This Row],[Indeks]],drugiKolokvijum[[Indeks]:[Ukupno]],13,FALSE),0)*10</f>
        <v>0</v>
      </c>
      <c r="E3" s="10">
        <f>IFERROR(VLOOKUP(Table91719212325[[#This Row],[Indeks]],drugaLaboratorijskaVezba[],14,FALSE),0)</f>
        <v>0</v>
      </c>
      <c r="F3" s="10">
        <f>IFERROR(VLOOKUP(Table91719212325[[#This Row],[Indeks]],cetvrtaLaboratorijskaVezba[],14,FALSE),0)</f>
        <v>0</v>
      </c>
      <c r="G3" s="10">
        <f>IFERROR(VLOOKUP(Table91719212325[[#This Row],[Indeks]],dz[],4,FALSE),0)</f>
        <v>0</v>
      </c>
      <c r="H3" s="10">
        <f>IFERROR(VLOOKUP(Table91719212325[[#This Row],[Indeks]],dz[],5,FALSE),0)</f>
        <v>0</v>
      </c>
      <c r="I3" s="10">
        <f>(MAX(Table91719212325[[#This Row],[L2]],Table91719212325[[#This Row],[DZ1]])+MAX(Table91719212325[[#This Row],[L4]],Table91719212325[[#This Row],[DZ2]]))/2</f>
        <v>0</v>
      </c>
      <c r="J3" s="10">
        <f>(Table91719212325[[#This Row],[DZ1]]+Table91719212325[[#This Row],[DZ2]])/2</f>
        <v>0</v>
      </c>
      <c r="K3" s="10" cm="1">
        <f t="array" ref="K3">MAX((Table91719212325[[#This Row],[K1]]+Table91719212325[[#This Row],[K2]])/2,IFERROR(INDEX(ispit[Ukupno], MATCH(Table91719212325[[#This Row],[Indeks]]&amp;"1",ispit[Indeks]&amp;ispit[Rok],0)),0)*10)</f>
        <v>0</v>
      </c>
      <c r="L3" s="10" cm="1">
        <f t="array" ref="L3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3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3" s="10">
        <f>IF(OR(Table91719212325[[#This Row],[DZ rok]]=$S$1,Table91719212325[[#This Row],[I rok]]=$S$1),MEDIAN(5,10,FLOOR((Table91719212325[[#This Row],[P]] + 9.99)/10,1)),3)</f>
        <v>3</v>
      </c>
      <c r="O3" s="10"/>
      <c r="P3" s="10" t="str">
        <f>IFERROR(VLOOKUP(Table91719212325[[#This Row],[Indeks]],dz[],3,FALSE),"")</f>
        <v/>
      </c>
      <c r="Q3" s="10" cm="1">
        <f t="array" ref="Q3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3" s="2"/>
    </row>
    <row r="4" spans="1:20" ht="15.6" x14ac:dyDescent="0.3">
      <c r="A4" s="10"/>
      <c r="B4" s="10" t="e">
        <f>VLOOKUP(Table91719212325[[#This Row],[Indeks]],spisakStudenata[[Indeks]:[Prezime i ime (latinica)]],3,FALSE)</f>
        <v>#N/A</v>
      </c>
      <c r="C4" s="10">
        <f>IFERROR(10 * VLOOKUP(Table91719212325[[#This Row],[Indeks]],prviKolokvijum[[Indeks]:[K1]],13,FALSE),0)</f>
        <v>0</v>
      </c>
      <c r="D4" s="10">
        <f>IFERROR(VLOOKUP(Table91719212325[[#This Row],[Indeks]],drugiKolokvijum[[Indeks]:[Ukupno]],13,FALSE),0)*10</f>
        <v>0</v>
      </c>
      <c r="E4" s="10">
        <f>IFERROR(VLOOKUP(Table91719212325[[#This Row],[Indeks]],drugaLaboratorijskaVezba[],14,FALSE),0)</f>
        <v>0</v>
      </c>
      <c r="F4" s="10">
        <f>IFERROR(VLOOKUP(Table91719212325[[#This Row],[Indeks]],cetvrtaLaboratorijskaVezba[],14,FALSE),0)</f>
        <v>0</v>
      </c>
      <c r="G4" s="10">
        <f>IFERROR(VLOOKUP(Table91719212325[[#This Row],[Indeks]],dz[],4,FALSE),0)</f>
        <v>0</v>
      </c>
      <c r="H4" s="10">
        <f>IFERROR(VLOOKUP(Table91719212325[[#This Row],[Indeks]],dz[],5,FALSE),0)</f>
        <v>0</v>
      </c>
      <c r="I4" s="10">
        <f>(MAX(Table91719212325[[#This Row],[L2]],Table91719212325[[#This Row],[DZ1]])+MAX(Table91719212325[[#This Row],[L4]],Table91719212325[[#This Row],[DZ2]]))/2</f>
        <v>0</v>
      </c>
      <c r="J4" s="10">
        <f>(Table91719212325[[#This Row],[DZ1]]+Table91719212325[[#This Row],[DZ2]])/2</f>
        <v>0</v>
      </c>
      <c r="K4" s="10" cm="1">
        <f t="array" ref="K4">MAX((Table91719212325[[#This Row],[K1]]+Table91719212325[[#This Row],[K2]])/2,IFERROR(INDEX(ispit[Ukupno], MATCH(Table91719212325[[#This Row],[Indeks]]&amp;"1",ispit[Indeks]&amp;ispit[Rok],0)),0)*10)</f>
        <v>0</v>
      </c>
      <c r="L4" s="10" cm="1">
        <f t="array" ref="L4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4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4" s="10">
        <f>IF(OR(Table91719212325[[#This Row],[DZ rok]]=$S$1,Table91719212325[[#This Row],[I rok]]=$S$1),MEDIAN(5,10,FLOOR((Table91719212325[[#This Row],[P]] + 9.99)/10,1)),3)</f>
        <v>3</v>
      </c>
      <c r="O4" s="10"/>
      <c r="P4" s="10" t="str">
        <f>IFERROR(VLOOKUP(Table91719212325[[#This Row],[Indeks]],dz[],3,FALSE),"")</f>
        <v/>
      </c>
      <c r="Q4" s="10" cm="1">
        <f t="array" ref="Q4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4" s="2"/>
    </row>
    <row r="5" spans="1:20" ht="15.6" x14ac:dyDescent="0.3">
      <c r="A5" s="10"/>
      <c r="B5" s="10" t="e">
        <f>VLOOKUP(Table91719212325[[#This Row],[Indeks]],spisakStudenata[[Indeks]:[Prezime i ime (latinica)]],3,FALSE)</f>
        <v>#N/A</v>
      </c>
      <c r="C5" s="10">
        <f>IFERROR(10 * VLOOKUP(Table91719212325[[#This Row],[Indeks]],prviKolokvijum[[Indeks]:[K1]],13,FALSE),0)</f>
        <v>0</v>
      </c>
      <c r="D5" s="10">
        <f>IFERROR(VLOOKUP(Table91719212325[[#This Row],[Indeks]],drugiKolokvijum[[Indeks]:[Ukupno]],13,FALSE),0)*10</f>
        <v>0</v>
      </c>
      <c r="E5" s="10">
        <f>IFERROR(VLOOKUP(Table91719212325[[#This Row],[Indeks]],drugaLaboratorijskaVezba[],14,FALSE),0)</f>
        <v>0</v>
      </c>
      <c r="F5" s="10">
        <f>IFERROR(VLOOKUP(Table91719212325[[#This Row],[Indeks]],cetvrtaLaboratorijskaVezba[],14,FALSE),0)</f>
        <v>0</v>
      </c>
      <c r="G5" s="10">
        <f>IFERROR(VLOOKUP(Table91719212325[[#This Row],[Indeks]],dz[],4,FALSE),0)</f>
        <v>0</v>
      </c>
      <c r="H5" s="10">
        <f>IFERROR(VLOOKUP(Table91719212325[[#This Row],[Indeks]],dz[],5,FALSE),0)</f>
        <v>0</v>
      </c>
      <c r="I5" s="10">
        <f>(MAX(Table91719212325[[#This Row],[L2]],Table91719212325[[#This Row],[DZ1]])+MAX(Table91719212325[[#This Row],[L4]],Table91719212325[[#This Row],[DZ2]]))/2</f>
        <v>0</v>
      </c>
      <c r="J5" s="10">
        <f>(Table91719212325[[#This Row],[DZ1]]+Table91719212325[[#This Row],[DZ2]])/2</f>
        <v>0</v>
      </c>
      <c r="K5" s="10" cm="1">
        <f t="array" ref="K5">MAX((Table91719212325[[#This Row],[K1]]+Table91719212325[[#This Row],[K2]])/2,IFERROR(INDEX(ispit[Ukupno], MATCH(Table91719212325[[#This Row],[Indeks]]&amp;"1",ispit[Indeks]&amp;ispit[Rok],0)),0)*10)</f>
        <v>0</v>
      </c>
      <c r="L5" s="10" cm="1">
        <f t="array" ref="L5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5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5" s="10">
        <f>IF(OR(Table91719212325[[#This Row],[DZ rok]]=$S$1,Table91719212325[[#This Row],[I rok]]=$S$1),MEDIAN(5,10,FLOOR((Table91719212325[[#This Row],[P]] + 9.99)/10,1)),3)</f>
        <v>3</v>
      </c>
      <c r="O5" s="10"/>
      <c r="P5" s="10" t="str">
        <f>IFERROR(VLOOKUP(Table91719212325[[#This Row],[Indeks]],dz[],3,FALSE),"")</f>
        <v/>
      </c>
      <c r="Q5" s="10" cm="1">
        <f t="array" ref="Q5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5" s="2"/>
      <c r="S5" s="1" t="s">
        <v>27</v>
      </c>
      <c r="T5" s="1" t="s">
        <v>26</v>
      </c>
    </row>
    <row r="6" spans="1:20" ht="15.6" x14ac:dyDescent="0.3">
      <c r="A6" s="10"/>
      <c r="B6" s="10" t="e">
        <f>VLOOKUP(Table91719212325[[#This Row],[Indeks]],spisakStudenata[[Indeks]:[Prezime i ime (latinica)]],3,FALSE)</f>
        <v>#N/A</v>
      </c>
      <c r="C6" s="10">
        <f>IFERROR(10 * VLOOKUP(Table91719212325[[#This Row],[Indeks]],prviKolokvijum[[Indeks]:[K1]],13,FALSE),0)</f>
        <v>0</v>
      </c>
      <c r="D6" s="10">
        <f>IFERROR(VLOOKUP(Table91719212325[[#This Row],[Indeks]],drugiKolokvijum[[Indeks]:[Ukupno]],13,FALSE),0)*10</f>
        <v>0</v>
      </c>
      <c r="E6" s="10">
        <f>IFERROR(VLOOKUP(Table91719212325[[#This Row],[Indeks]],drugaLaboratorijskaVezba[],14,FALSE),0)</f>
        <v>0</v>
      </c>
      <c r="F6" s="10">
        <f>IFERROR(VLOOKUP(Table91719212325[[#This Row],[Indeks]],cetvrtaLaboratorijskaVezba[],14,FALSE),0)</f>
        <v>0</v>
      </c>
      <c r="G6" s="10">
        <f>IFERROR(VLOOKUP(Table91719212325[[#This Row],[Indeks]],dz[],4,FALSE),0)</f>
        <v>0</v>
      </c>
      <c r="H6" s="10">
        <f>IFERROR(VLOOKUP(Table91719212325[[#This Row],[Indeks]],dz[],5,FALSE),0)</f>
        <v>0</v>
      </c>
      <c r="I6" s="10">
        <f>(MAX(Table91719212325[[#This Row],[L2]],Table91719212325[[#This Row],[DZ1]])+MAX(Table91719212325[[#This Row],[L4]],Table91719212325[[#This Row],[DZ2]]))/2</f>
        <v>0</v>
      </c>
      <c r="J6" s="10">
        <f>(Table91719212325[[#This Row],[DZ1]]+Table91719212325[[#This Row],[DZ2]])/2</f>
        <v>0</v>
      </c>
      <c r="K6" s="10" cm="1">
        <f t="array" ref="K6">MAX((Table91719212325[[#This Row],[K1]]+Table91719212325[[#This Row],[K2]])/2,IFERROR(INDEX(ispit[Ukupno], MATCH(Table91719212325[[#This Row],[Indeks]]&amp;"1",ispit[Indeks]&amp;ispit[Rok],0)),0)*10)</f>
        <v>0</v>
      </c>
      <c r="L6" s="10" cm="1">
        <f t="array" ref="L6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6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6" s="10">
        <f>IF(OR(Table91719212325[[#This Row],[DZ rok]]=$S$1,Table91719212325[[#This Row],[I rok]]=$S$1),MEDIAN(5,10,FLOOR((Table91719212325[[#This Row],[P]] + 9.99)/10,1)),3)</f>
        <v>3</v>
      </c>
      <c r="O6" s="10"/>
      <c r="P6" s="10" t="str">
        <f>IFERROR(VLOOKUP(Table91719212325[[#This Row],[Indeks]],dz[],3,FALSE),"")</f>
        <v/>
      </c>
      <c r="Q6" s="10" cm="1">
        <f t="array" ref="Q6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6" s="2"/>
      <c r="S6" s="1">
        <v>5</v>
      </c>
      <c r="T6" s="1">
        <f>COUNTIF(Table91719212325[Ocena],Table111820222426[[#This Row],[Ocena]])</f>
        <v>0</v>
      </c>
    </row>
    <row r="7" spans="1:20" ht="15.6" x14ac:dyDescent="0.3">
      <c r="A7" s="10"/>
      <c r="B7" s="10" t="e">
        <f>VLOOKUP(Table91719212325[[#This Row],[Indeks]],spisakStudenata[[Indeks]:[Prezime i ime (latinica)]],3,FALSE)</f>
        <v>#N/A</v>
      </c>
      <c r="C7" s="10">
        <f>IFERROR(10 * VLOOKUP(Table91719212325[[#This Row],[Indeks]],prviKolokvijum[[Indeks]:[K1]],13,FALSE),0)</f>
        <v>0</v>
      </c>
      <c r="D7" s="10">
        <f>IFERROR(VLOOKUP(Table91719212325[[#This Row],[Indeks]],drugiKolokvijum[[Indeks]:[Ukupno]],13,FALSE),0)*10</f>
        <v>0</v>
      </c>
      <c r="E7" s="10">
        <f>IFERROR(VLOOKUP(Table91719212325[[#This Row],[Indeks]],drugaLaboratorijskaVezba[],14,FALSE),0)</f>
        <v>0</v>
      </c>
      <c r="F7" s="10">
        <f>IFERROR(VLOOKUP(Table91719212325[[#This Row],[Indeks]],cetvrtaLaboratorijskaVezba[],14,FALSE),0)</f>
        <v>0</v>
      </c>
      <c r="G7" s="10">
        <f>IFERROR(VLOOKUP(Table91719212325[[#This Row],[Indeks]],dz[],4,FALSE),0)</f>
        <v>0</v>
      </c>
      <c r="H7" s="10">
        <f>IFERROR(VLOOKUP(Table91719212325[[#This Row],[Indeks]],dz[],5,FALSE),0)</f>
        <v>0</v>
      </c>
      <c r="I7" s="10">
        <f>(MAX(Table91719212325[[#This Row],[L2]],Table91719212325[[#This Row],[DZ1]])+MAX(Table91719212325[[#This Row],[L4]],Table91719212325[[#This Row],[DZ2]]))/2</f>
        <v>0</v>
      </c>
      <c r="J7" s="10">
        <f>(Table91719212325[[#This Row],[DZ1]]+Table91719212325[[#This Row],[DZ2]])/2</f>
        <v>0</v>
      </c>
      <c r="K7" s="10" cm="1">
        <f t="array" ref="K7">MAX((Table91719212325[[#This Row],[K1]]+Table91719212325[[#This Row],[K2]])/2,IFERROR(INDEX(ispit[Ukupno], MATCH(Table91719212325[[#This Row],[Indeks]]&amp;"1",ispit[Indeks]&amp;ispit[Rok],0)),0)*10)</f>
        <v>0</v>
      </c>
      <c r="L7" s="10" cm="1">
        <f t="array" ref="L7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7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7" s="10">
        <f>IF(OR(Table91719212325[[#This Row],[DZ rok]]=$S$1,Table91719212325[[#This Row],[I rok]]=$S$1),MEDIAN(5,10,FLOOR((Table91719212325[[#This Row],[P]] + 9.99)/10,1)),3)</f>
        <v>3</v>
      </c>
      <c r="O7" s="10"/>
      <c r="P7" s="10" t="str">
        <f>IFERROR(VLOOKUP(Table91719212325[[#This Row],[Indeks]],dz[],3,FALSE),"")</f>
        <v/>
      </c>
      <c r="Q7" s="10" cm="1">
        <f t="array" ref="Q7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7" s="2"/>
      <c r="S7" s="1">
        <v>6</v>
      </c>
      <c r="T7" s="1">
        <f>COUNTIF(Table91719212325[Ocena],Table111820222426[[#This Row],[Ocena]])</f>
        <v>0</v>
      </c>
    </row>
    <row r="8" spans="1:20" ht="15.6" x14ac:dyDescent="0.3">
      <c r="A8" s="10"/>
      <c r="B8" s="10" t="e">
        <f>VLOOKUP(Table91719212325[[#This Row],[Indeks]],spisakStudenata[[Indeks]:[Prezime i ime (latinica)]],3,FALSE)</f>
        <v>#N/A</v>
      </c>
      <c r="C8" s="10">
        <f>IFERROR(10 * VLOOKUP(Table91719212325[[#This Row],[Indeks]],prviKolokvijum[[Indeks]:[K1]],13,FALSE),0)</f>
        <v>0</v>
      </c>
      <c r="D8" s="10">
        <f>IFERROR(VLOOKUP(Table91719212325[[#This Row],[Indeks]],drugiKolokvijum[[Indeks]:[Ukupno]],13,FALSE),0)*10</f>
        <v>0</v>
      </c>
      <c r="E8" s="10">
        <f>IFERROR(VLOOKUP(Table91719212325[[#This Row],[Indeks]],drugaLaboratorijskaVezba[],14,FALSE),0)</f>
        <v>0</v>
      </c>
      <c r="F8" s="10">
        <f>IFERROR(VLOOKUP(Table91719212325[[#This Row],[Indeks]],cetvrtaLaboratorijskaVezba[],14,FALSE),0)</f>
        <v>0</v>
      </c>
      <c r="G8" s="10">
        <f>IFERROR(VLOOKUP(Table91719212325[[#This Row],[Indeks]],dz[],4,FALSE),0)</f>
        <v>0</v>
      </c>
      <c r="H8" s="10">
        <f>IFERROR(VLOOKUP(Table91719212325[[#This Row],[Indeks]],dz[],5,FALSE),0)</f>
        <v>0</v>
      </c>
      <c r="I8" s="10">
        <f>(MAX(Table91719212325[[#This Row],[L2]],Table91719212325[[#This Row],[DZ1]])+MAX(Table91719212325[[#This Row],[L4]],Table91719212325[[#This Row],[DZ2]]))/2</f>
        <v>0</v>
      </c>
      <c r="J8" s="10">
        <f>(Table91719212325[[#This Row],[DZ1]]+Table91719212325[[#This Row],[DZ2]])/2</f>
        <v>0</v>
      </c>
      <c r="K8" s="10" cm="1">
        <f t="array" ref="K8">MAX((Table91719212325[[#This Row],[K1]]+Table91719212325[[#This Row],[K2]])/2,IFERROR(INDEX(ispit[Ukupno], MATCH(Table91719212325[[#This Row],[Indeks]]&amp;"1",ispit[Indeks]&amp;ispit[Rok],0)),0)*10)</f>
        <v>0</v>
      </c>
      <c r="L8" s="10" cm="1">
        <f t="array" ref="L8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8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8" s="10">
        <f>IF(OR(Table91719212325[[#This Row],[DZ rok]]=$S$1,Table91719212325[[#This Row],[I rok]]=$S$1),MEDIAN(5,10,FLOOR((Table91719212325[[#This Row],[P]] + 9.99)/10,1)),3)</f>
        <v>3</v>
      </c>
      <c r="O8" s="10"/>
      <c r="P8" s="10" t="str">
        <f>IFERROR(VLOOKUP(Table91719212325[[#This Row],[Indeks]],dz[],3,FALSE),"")</f>
        <v/>
      </c>
      <c r="Q8" s="10" cm="1">
        <f t="array" ref="Q8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8" s="2"/>
      <c r="S8" s="1">
        <v>7</v>
      </c>
      <c r="T8" s="1">
        <f>COUNTIF(Table91719212325[Ocena],Table111820222426[[#This Row],[Ocena]])</f>
        <v>0</v>
      </c>
    </row>
    <row r="9" spans="1:20" ht="15.6" x14ac:dyDescent="0.3">
      <c r="A9" s="10"/>
      <c r="B9" s="10" t="e">
        <f>VLOOKUP(Table91719212325[[#This Row],[Indeks]],spisakStudenata[[Indeks]:[Prezime i ime (latinica)]],3,FALSE)</f>
        <v>#N/A</v>
      </c>
      <c r="C9" s="10">
        <f>IFERROR(10 * VLOOKUP(Table91719212325[[#This Row],[Indeks]],prviKolokvijum[[Indeks]:[K1]],13,FALSE),0)</f>
        <v>0</v>
      </c>
      <c r="D9" s="10">
        <f>IFERROR(VLOOKUP(Table91719212325[[#This Row],[Indeks]],drugiKolokvijum[[Indeks]:[Ukupno]],13,FALSE),0)*10</f>
        <v>0</v>
      </c>
      <c r="E9" s="10">
        <f>IFERROR(VLOOKUP(Table91719212325[[#This Row],[Indeks]],drugaLaboratorijskaVezba[],14,FALSE),0)</f>
        <v>0</v>
      </c>
      <c r="F9" s="10">
        <f>IFERROR(VLOOKUP(Table91719212325[[#This Row],[Indeks]],cetvrtaLaboratorijskaVezba[],14,FALSE),0)</f>
        <v>0</v>
      </c>
      <c r="G9" s="10">
        <f>IFERROR(VLOOKUP(Table91719212325[[#This Row],[Indeks]],dz[],4,FALSE),0)</f>
        <v>0</v>
      </c>
      <c r="H9" s="10">
        <f>IFERROR(VLOOKUP(Table91719212325[[#This Row],[Indeks]],dz[],5,FALSE),0)</f>
        <v>0</v>
      </c>
      <c r="I9" s="10">
        <f>(MAX(Table91719212325[[#This Row],[L2]],Table91719212325[[#This Row],[DZ1]])+MAX(Table91719212325[[#This Row],[L4]],Table91719212325[[#This Row],[DZ2]]))/2</f>
        <v>0</v>
      </c>
      <c r="J9" s="10">
        <f>(Table91719212325[[#This Row],[DZ1]]+Table91719212325[[#This Row],[DZ2]])/2</f>
        <v>0</v>
      </c>
      <c r="K9" s="10" cm="1">
        <f t="array" ref="K9">MAX((Table91719212325[[#This Row],[K1]]+Table91719212325[[#This Row],[K2]])/2,IFERROR(INDEX(ispit[Ukupno], MATCH(Table91719212325[[#This Row],[Indeks]]&amp;"1",ispit[Indeks]&amp;ispit[Rok],0)),0)*10)</f>
        <v>0</v>
      </c>
      <c r="L9" s="10" cm="1">
        <f t="array" ref="L9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9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9" s="10">
        <f>IF(OR(Table91719212325[[#This Row],[DZ rok]]=$S$1,Table91719212325[[#This Row],[I rok]]=$S$1),MEDIAN(5,10,FLOOR((Table91719212325[[#This Row],[P]] + 9.99)/10,1)),3)</f>
        <v>3</v>
      </c>
      <c r="O9" s="10"/>
      <c r="P9" s="10" t="str">
        <f>IFERROR(VLOOKUP(Table91719212325[[#This Row],[Indeks]],dz[],3,FALSE),"")</f>
        <v/>
      </c>
      <c r="Q9" s="10" cm="1">
        <f t="array" ref="Q9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9" s="2"/>
      <c r="S9" s="1">
        <v>8</v>
      </c>
      <c r="T9" s="1">
        <f>COUNTIF(Table91719212325[Ocena],Table111820222426[[#This Row],[Ocena]])</f>
        <v>0</v>
      </c>
    </row>
    <row r="10" spans="1:20" ht="15.6" x14ac:dyDescent="0.3">
      <c r="A10" s="10"/>
      <c r="B10" s="10" t="e">
        <f>VLOOKUP(Table91719212325[[#This Row],[Indeks]],spisakStudenata[[Indeks]:[Prezime i ime (latinica)]],3,FALSE)</f>
        <v>#N/A</v>
      </c>
      <c r="C10" s="10">
        <f>IFERROR(10 * VLOOKUP(Table91719212325[[#This Row],[Indeks]],prviKolokvijum[[Indeks]:[K1]],13,FALSE),0)</f>
        <v>0</v>
      </c>
      <c r="D10" s="10">
        <f>IFERROR(VLOOKUP(Table91719212325[[#This Row],[Indeks]],drugiKolokvijum[[Indeks]:[Ukupno]],13,FALSE),0)*10</f>
        <v>0</v>
      </c>
      <c r="E10" s="10">
        <f>IFERROR(VLOOKUP(Table91719212325[[#This Row],[Indeks]],drugaLaboratorijskaVezba[],14,FALSE),0)</f>
        <v>0</v>
      </c>
      <c r="F10" s="10">
        <f>IFERROR(VLOOKUP(Table91719212325[[#This Row],[Indeks]],cetvrtaLaboratorijskaVezba[],14,FALSE),0)</f>
        <v>0</v>
      </c>
      <c r="G10" s="10">
        <f>IFERROR(VLOOKUP(Table91719212325[[#This Row],[Indeks]],dz[],4,FALSE),0)</f>
        <v>0</v>
      </c>
      <c r="H10" s="10">
        <f>IFERROR(VLOOKUP(Table91719212325[[#This Row],[Indeks]],dz[],5,FALSE),0)</f>
        <v>0</v>
      </c>
      <c r="I10" s="10">
        <f>(MAX(Table91719212325[[#This Row],[L2]],Table91719212325[[#This Row],[DZ1]])+MAX(Table91719212325[[#This Row],[L4]],Table91719212325[[#This Row],[DZ2]]))/2</f>
        <v>0</v>
      </c>
      <c r="J10" s="10">
        <f>(Table91719212325[[#This Row],[DZ1]]+Table91719212325[[#This Row],[DZ2]])/2</f>
        <v>0</v>
      </c>
      <c r="K10" s="10" cm="1">
        <f t="array" ref="K10">MAX((Table91719212325[[#This Row],[K1]]+Table91719212325[[#This Row],[K2]])/2,IFERROR(INDEX(ispit[Ukupno], MATCH(Table91719212325[[#This Row],[Indeks]]&amp;"1",ispit[Indeks]&amp;ispit[Rok],0)),0)*10)</f>
        <v>0</v>
      </c>
      <c r="L10" s="10" cm="1">
        <f t="array" ref="L10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10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10" s="10">
        <f>IF(OR(Table91719212325[[#This Row],[DZ rok]]=$S$1,Table91719212325[[#This Row],[I rok]]=$S$1),MEDIAN(5,10,FLOOR((Table91719212325[[#This Row],[P]] + 9.99)/10,1)),3)</f>
        <v>3</v>
      </c>
      <c r="O10" s="10"/>
      <c r="P10" s="10" t="str">
        <f>IFERROR(VLOOKUP(Table91719212325[[#This Row],[Indeks]],dz[],3,FALSE),"")</f>
        <v/>
      </c>
      <c r="Q10" s="10" cm="1">
        <f t="array" ref="Q10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10" s="2"/>
      <c r="S10" s="1">
        <v>9</v>
      </c>
      <c r="T10" s="1">
        <f>COUNTIF(Table91719212325[Ocena],Table111820222426[[#This Row],[Ocena]])</f>
        <v>0</v>
      </c>
    </row>
    <row r="11" spans="1:20" ht="15.6" x14ac:dyDescent="0.3">
      <c r="A11" s="10"/>
      <c r="B11" s="10" t="e">
        <f>VLOOKUP(Table91719212325[[#This Row],[Indeks]],spisakStudenata[[Indeks]:[Prezime i ime (latinica)]],3,FALSE)</f>
        <v>#N/A</v>
      </c>
      <c r="C11" s="10">
        <f>IFERROR(10 * VLOOKUP(Table91719212325[[#This Row],[Indeks]],prviKolokvijum[[Indeks]:[K1]],13,FALSE),0)</f>
        <v>0</v>
      </c>
      <c r="D11" s="10">
        <f>IFERROR(VLOOKUP(Table91719212325[[#This Row],[Indeks]],drugiKolokvijum[[Indeks]:[Ukupno]],13,FALSE),0)*10</f>
        <v>0</v>
      </c>
      <c r="E11" s="10">
        <f>IFERROR(VLOOKUP(Table91719212325[[#This Row],[Indeks]],drugaLaboratorijskaVezba[],14,FALSE),0)</f>
        <v>0</v>
      </c>
      <c r="F11" s="10">
        <f>IFERROR(VLOOKUP(Table91719212325[[#This Row],[Indeks]],cetvrtaLaboratorijskaVezba[],14,FALSE),0)</f>
        <v>0</v>
      </c>
      <c r="G11" s="10">
        <f>IFERROR(VLOOKUP(Table91719212325[[#This Row],[Indeks]],dz[],4,FALSE),0)</f>
        <v>0</v>
      </c>
      <c r="H11" s="10">
        <f>IFERROR(VLOOKUP(Table91719212325[[#This Row],[Indeks]],dz[],5,FALSE),0)</f>
        <v>0</v>
      </c>
      <c r="I11" s="10">
        <f>(MAX(Table91719212325[[#This Row],[L2]],Table91719212325[[#This Row],[DZ1]])+MAX(Table91719212325[[#This Row],[L4]],Table91719212325[[#This Row],[DZ2]]))/2</f>
        <v>0</v>
      </c>
      <c r="J11" s="10">
        <f>(Table91719212325[[#This Row],[DZ1]]+Table91719212325[[#This Row],[DZ2]])/2</f>
        <v>0</v>
      </c>
      <c r="K11" s="10" cm="1">
        <f t="array" ref="K11">MAX((Table91719212325[[#This Row],[K1]]+Table91719212325[[#This Row],[K2]])/2,IFERROR(INDEX(ispit[Ukupno], MATCH(Table91719212325[[#This Row],[Indeks]]&amp;"1",ispit[Indeks]&amp;ispit[Rok],0)),0)*10)</f>
        <v>0</v>
      </c>
      <c r="L11" s="10" cm="1">
        <f t="array" ref="L11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11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11" s="10">
        <f>IF(OR(Table91719212325[[#This Row],[DZ rok]]=$S$1,Table91719212325[[#This Row],[I rok]]=$S$1),MEDIAN(5,10,FLOOR((Table91719212325[[#This Row],[P]] + 9.99)/10,1)),3)</f>
        <v>3</v>
      </c>
      <c r="O11" s="10"/>
      <c r="P11" s="10" t="str">
        <f>IFERROR(VLOOKUP(Table91719212325[[#This Row],[Indeks]],dz[],3,FALSE),"")</f>
        <v/>
      </c>
      <c r="Q11" s="10" cm="1">
        <f t="array" ref="Q11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11" s="2"/>
      <c r="S11" s="1">
        <v>10</v>
      </c>
      <c r="T11" s="1">
        <f>COUNTIF(Table91719212325[Ocena],Table111820222426[[#This Row],[Ocena]])</f>
        <v>0</v>
      </c>
    </row>
    <row r="12" spans="1:20" ht="15.6" x14ac:dyDescent="0.3">
      <c r="A12" s="10"/>
      <c r="B12" s="10" t="e">
        <f>VLOOKUP(Table91719212325[[#This Row],[Indeks]],spisakStudenata[[Indeks]:[Prezime i ime (latinica)]],3,FALSE)</f>
        <v>#N/A</v>
      </c>
      <c r="C12" s="10">
        <f>IFERROR(10 * VLOOKUP(Table91719212325[[#This Row],[Indeks]],prviKolokvijum[[Indeks]:[K1]],13,FALSE),0)</f>
        <v>0</v>
      </c>
      <c r="D12" s="10">
        <f>IFERROR(VLOOKUP(Table91719212325[[#This Row],[Indeks]],drugiKolokvijum[[Indeks]:[Ukupno]],13,FALSE),0)*10</f>
        <v>0</v>
      </c>
      <c r="E12" s="10">
        <f>IFERROR(VLOOKUP(Table91719212325[[#This Row],[Indeks]],drugaLaboratorijskaVezba[],14,FALSE),0)</f>
        <v>0</v>
      </c>
      <c r="F12" s="10">
        <f>IFERROR(VLOOKUP(Table91719212325[[#This Row],[Indeks]],cetvrtaLaboratorijskaVezba[],14,FALSE),0)</f>
        <v>0</v>
      </c>
      <c r="G12" s="10">
        <f>IFERROR(VLOOKUP(Table91719212325[[#This Row],[Indeks]],dz[],4,FALSE),0)</f>
        <v>0</v>
      </c>
      <c r="H12" s="10">
        <f>IFERROR(VLOOKUP(Table91719212325[[#This Row],[Indeks]],dz[],5,FALSE),0)</f>
        <v>0</v>
      </c>
      <c r="I12" s="10">
        <f>(MAX(Table91719212325[[#This Row],[L2]],Table91719212325[[#This Row],[DZ1]])+MAX(Table91719212325[[#This Row],[L4]],Table91719212325[[#This Row],[DZ2]]))/2</f>
        <v>0</v>
      </c>
      <c r="J12" s="10">
        <f>(Table91719212325[[#This Row],[DZ1]]+Table91719212325[[#This Row],[DZ2]])/2</f>
        <v>0</v>
      </c>
      <c r="K12" s="10" cm="1">
        <f t="array" ref="K12">MAX((Table91719212325[[#This Row],[K1]]+Table91719212325[[#This Row],[K2]])/2,IFERROR(INDEX(ispit[Ukupno], MATCH(Table91719212325[[#This Row],[Indeks]]&amp;"1",ispit[Indeks]&amp;ispit[Rok],0)),0)*10)</f>
        <v>0</v>
      </c>
      <c r="L12" s="10" cm="1">
        <f t="array" ref="L12">IF(MAX(ROW(ispit[Indeks]) * (Table91719212325[[#This Row],[Indeks]]=ispit[Indeks]) * ($T$1&gt;=ispit[Rok])) &gt; 0,10 * INDEX(ispit[Ukupno],SUMPRODUCT(MAX(ROW(ispit[Indeks]) * (Table91719212325[[#This Row],[Indeks]]=ispit[Indeks]) * ($T$1&gt;=ispit[Rok])) - 1)),0)</f>
        <v>0</v>
      </c>
      <c r="M12" s="10">
        <f>IF(AND(Table91719212325[[#This Row],[L]]&gt;=40,Table91719212325[[#This Row],[I]]&gt;=40),0.2*Table91719212325[[#This Row],[L]]+0.3*Table91719212325[[#This Row],[D]]+0.2*Table91719212325[[#This Row],[K]]+0.3*Table91719212325[[#This Row],[I]]+Table91719212325[[#This Row],[Dodato]],0)</f>
        <v>0</v>
      </c>
      <c r="N12" s="10">
        <f>IF(OR(Table91719212325[[#This Row],[DZ rok]]=$S$1,Table91719212325[[#This Row],[I rok]]=$S$1),MEDIAN(5,10,FLOOR((Table91719212325[[#This Row],[P]] + 9.99)/10,1)),3)</f>
        <v>3</v>
      </c>
      <c r="O12" s="10"/>
      <c r="P12" s="10" t="str">
        <f>IFERROR(VLOOKUP(Table91719212325[[#This Row],[Indeks]],dz[],3,FALSE),"")</f>
        <v/>
      </c>
      <c r="Q12" s="10" cm="1">
        <f t="array" ref="Q12">IF(MAX(ROW(ispit[Indeks]) * (Table91719212325[[#This Row],[Indeks]]=ispit[Indeks]) * ($T$1&gt;=ispit[Rok])) &gt; 0,INDEX(ispit[Rok],SUMPRODUCT(MAX(ROW(ispit[Indeks]) * (Table91719212325[[#This Row],[Indeks]]=ispit[Indeks]) * ($T$1&gt;=ispit[Rok])) - 1)),0)</f>
        <v>0</v>
      </c>
      <c r="R12" s="2"/>
      <c r="S12" s="1"/>
    </row>
    <row r="13" spans="1:20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</row>
    <row r="14" spans="1:20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1"/>
    </row>
    <row r="15" spans="1:20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</row>
    <row r="16" spans="1:20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1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1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</row>
    <row r="21" spans="1:19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</row>
    <row r="22" spans="1:19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</row>
    <row r="23" spans="1:19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</row>
    <row r="24" spans="1:19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</row>
    <row r="25" spans="1:19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</row>
    <row r="26" spans="1:19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</row>
    <row r="27" spans="1:19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</row>
    <row r="28" spans="1:19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</row>
    <row r="29" spans="1:19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</row>
    <row r="30" spans="1:19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</row>
    <row r="31" spans="1:19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</row>
    <row r="32" spans="1:19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</row>
    <row r="33" spans="1:19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</row>
    <row r="34" spans="1:19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</row>
    <row r="35" spans="1:19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</row>
    <row r="36" spans="1:19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</row>
    <row r="37" spans="1:19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</row>
    <row r="38" spans="1:19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</row>
    <row r="39" spans="1:19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</row>
    <row r="40" spans="1:19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</sheetData>
  <printOptions horizontalCentered="1"/>
  <pageMargins left="0.25" right="0.25" top="0.75" bottom="0.75" header="0.3" footer="0.3"/>
  <pageSetup paperSize="9" scale="52" orientation="landscape" r:id="rId1"/>
  <headerFooter>
    <oddHeader>&amp;CRačunarska grafika
Februarski ispitni rok</oddHeader>
  </headerFooter>
  <colBreaks count="1" manualBreakCount="1">
    <brk id="15" max="1048575" man="1"/>
  </colBreaks>
  <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spisakStudenata</vt:lpstr>
      <vt:lpstr>K1</vt:lpstr>
      <vt:lpstr>L2</vt:lpstr>
      <vt:lpstr>K2</vt:lpstr>
      <vt:lpstr>L4</vt:lpstr>
      <vt:lpstr>DZ</vt:lpstr>
      <vt:lpstr>I</vt:lpstr>
      <vt:lpstr>Jun</vt:lpstr>
      <vt:lpstr>Jul</vt:lpstr>
      <vt:lpstr>Avgust</vt:lpstr>
      <vt:lpstr>Septembar</vt:lpstr>
      <vt:lpstr>Oktobar</vt:lpstr>
      <vt:lpstr>Februar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Јован Ђукић</cp:lastModifiedBy>
  <cp:lastPrinted>2023-09-25T17:57:32Z</cp:lastPrinted>
  <dcterms:created xsi:type="dcterms:W3CDTF">2015-06-05T18:17:20Z</dcterms:created>
  <dcterms:modified xsi:type="dcterms:W3CDTF">2023-09-25T18:02:31Z</dcterms:modified>
</cp:coreProperties>
</file>